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uman Help" sheetId="1" r:id="rId4"/>
    <sheet state="visible" name="Pet Medical Help" sheetId="2" r:id="rId5"/>
    <sheet state="visible" name="Dog Help" sheetId="3" r:id="rId6"/>
    <sheet state="visible" name="Cat Help" sheetId="4" r:id="rId7"/>
  </sheets>
  <definedNames/>
  <calcPr/>
</workbook>
</file>

<file path=xl/sharedStrings.xml><?xml version="1.0" encoding="utf-8"?>
<sst xmlns="http://schemas.openxmlformats.org/spreadsheetml/2006/main" count="518" uniqueCount="430">
  <si>
    <t>SOCIAL SERVICES</t>
  </si>
  <si>
    <t>LEGAL AID</t>
  </si>
  <si>
    <t>615-862-6458</t>
  </si>
  <si>
    <t xml:space="preserve">615-255-0331 </t>
  </si>
  <si>
    <t>615-743-7300</t>
  </si>
  <si>
    <t>615-298-1080</t>
  </si>
  <si>
    <t>615-415-0141</t>
  </si>
  <si>
    <t>615-242-3576</t>
  </si>
  <si>
    <t xml:space="preserve"> </t>
  </si>
  <si>
    <t xml:space="preserve">HOUSING - RENT AND UTILITY ASSISTANCE </t>
  </si>
  <si>
    <t>615-352-3087</t>
  </si>
  <si>
    <t>615-269-6835</t>
  </si>
  <si>
    <t>615-327-3430</t>
  </si>
  <si>
    <t>615-815-9012</t>
  </si>
  <si>
    <t>615-862-8860</t>
  </si>
  <si>
    <t>615-242-0411</t>
  </si>
  <si>
    <t>FOOD FOR INFANTS, MOTHER AND CHILDREN</t>
  </si>
  <si>
    <t>EMERGENCY FOOD BOXES AND SNAP</t>
  </si>
  <si>
    <t>615-862-7916</t>
  </si>
  <si>
    <t>615-868-1673</t>
  </si>
  <si>
    <t>615-862-7940</t>
  </si>
  <si>
    <t>Hermitage Church of Christ</t>
  </si>
  <si>
    <t>615-238-7041</t>
  </si>
  <si>
    <t>615-329-3491</t>
  </si>
  <si>
    <t>615-880-3210</t>
  </si>
  <si>
    <t>615-905-1942</t>
  </si>
  <si>
    <t>615-743-2000</t>
  </si>
  <si>
    <t>800-342-5942</t>
  </si>
  <si>
    <t>PET FOOD BANKS IN TN</t>
  </si>
  <si>
    <t xml:space="preserve">CLOTHING </t>
  </si>
  <si>
    <t xml:space="preserve">SHOWERS </t>
  </si>
  <si>
    <t xml:space="preserve">EDUCATION - HiSET CLASSES </t>
  </si>
  <si>
    <t xml:space="preserve">FINANCIAL EDUCATION </t>
  </si>
  <si>
    <t>615-298-3278</t>
  </si>
  <si>
    <t>615-777-3404</t>
  </si>
  <si>
    <t>1-800-826-3177</t>
  </si>
  <si>
    <t>615-748-3620</t>
  </si>
  <si>
    <t>615-269-9922 Ext 252</t>
  </si>
  <si>
    <t>800-531-1515</t>
  </si>
  <si>
    <t>EDUCATION, TUTORING AND CAREER - YOUTH</t>
  </si>
  <si>
    <t>EDUCATION, TUTORING AND CAREER - ADULTS</t>
  </si>
  <si>
    <t>615-850-3920</t>
  </si>
  <si>
    <t>615-360-9797</t>
  </si>
  <si>
    <t xml:space="preserve">615-320-5106  </t>
  </si>
  <si>
    <t>615-341-0101</t>
  </si>
  <si>
    <t>615-254-0525</t>
  </si>
  <si>
    <t>615-298-6636</t>
  </si>
  <si>
    <t>615-743-6206</t>
  </si>
  <si>
    <t>615-254-1791</t>
  </si>
  <si>
    <t>Metro Nashville Public School System: HERO Program</t>
  </si>
  <si>
    <t>615-259-8729</t>
  </si>
  <si>
    <t>615-333-7672</t>
  </si>
  <si>
    <t>615-315-5333</t>
  </si>
  <si>
    <t xml:space="preserve">FREE LITERACY ASSISTANCE </t>
  </si>
  <si>
    <t>615-298-8060</t>
  </si>
  <si>
    <t>615-290-5567</t>
  </si>
  <si>
    <t>615-352-1295</t>
  </si>
  <si>
    <t>Salvation Army South Campus</t>
  </si>
  <si>
    <t>EMPLOYMENT</t>
  </si>
  <si>
    <t>615-244-3669</t>
  </si>
  <si>
    <t>615-248-2906</t>
  </si>
  <si>
    <t>615-862-5795</t>
  </si>
  <si>
    <t xml:space="preserve">615-255-2475 </t>
  </si>
  <si>
    <t>615-741-1606</t>
  </si>
  <si>
    <t>615-312-1574</t>
  </si>
  <si>
    <t>800-545-9231</t>
  </si>
  <si>
    <t>615-360-8595</t>
  </si>
  <si>
    <t>615-253-8920</t>
  </si>
  <si>
    <t>TRANSPORT</t>
  </si>
  <si>
    <t>615-610-4040</t>
  </si>
  <si>
    <t>615-255-3556</t>
  </si>
  <si>
    <t>615-780-9473</t>
  </si>
  <si>
    <t>615-862-5950</t>
  </si>
  <si>
    <t>615-880-3970</t>
  </si>
  <si>
    <t>615-313-9972</t>
  </si>
  <si>
    <t>MENTAL HEALTH</t>
  </si>
  <si>
    <t>COUNSELING</t>
  </si>
  <si>
    <t>615-361-6608</t>
  </si>
  <si>
    <t>615-781-3000</t>
  </si>
  <si>
    <t>615-743-1555</t>
  </si>
  <si>
    <t>615-383-2115</t>
  </si>
  <si>
    <t>615-491-5850</t>
  </si>
  <si>
    <t>615-269-7751</t>
  </si>
  <si>
    <t>615-460-4357</t>
  </si>
  <si>
    <t>615-244-7444</t>
  </si>
  <si>
    <t>WOMEN'S HEALTH</t>
  </si>
  <si>
    <t>866-711-1717</t>
  </si>
  <si>
    <t>615-936-5858</t>
  </si>
  <si>
    <t>615-432-2725</t>
  </si>
  <si>
    <t>615-873-0414</t>
  </si>
  <si>
    <t>800-318-2596</t>
  </si>
  <si>
    <t>Hope Clinic</t>
  </si>
  <si>
    <t>615-321-0005</t>
  </si>
  <si>
    <t>Nashville Women's Clinic</t>
  </si>
  <si>
    <t>615-229-5917</t>
  </si>
  <si>
    <t>LOW-COST CLINICS</t>
  </si>
  <si>
    <t>HIV / AIDS</t>
  </si>
  <si>
    <t>GENERAL HEALTH</t>
  </si>
  <si>
    <r>
      <rPr>
        <color rgb="FF3D85C6"/>
        <u/>
      </rPr>
      <t>Nashville Gov</t>
    </r>
    <r>
      <rPr>
        <color rgb="FF000000"/>
      </rPr>
      <t>, Multi Locations</t>
    </r>
  </si>
  <si>
    <r>
      <rPr>
        <color rgb="FF3D85C6"/>
        <u/>
      </rPr>
      <t>Comprehensive Care Clinic</t>
    </r>
    <r>
      <rPr>
        <color rgb="FF000000"/>
      </rPr>
      <t xml:space="preserve"> 615-875-5111</t>
    </r>
  </si>
  <si>
    <r>
      <rPr>
        <color rgb="FF3D85C6"/>
        <u/>
      </rPr>
      <t>Connect Us Health</t>
    </r>
    <r>
      <rPr>
        <color rgb="FF000000"/>
      </rPr>
      <t xml:space="preserve"> 615-292-9770, Multi Locations</t>
    </r>
  </si>
  <si>
    <r>
      <rPr>
        <color rgb="FF3D85C6"/>
        <u/>
      </rPr>
      <t>Nashville Gov STD</t>
    </r>
    <r>
      <t xml:space="preserve"> </t>
    </r>
    <r>
      <rPr>
        <color rgb="FF000000"/>
      </rPr>
      <t xml:space="preserve">615-340-5647 </t>
    </r>
  </si>
  <si>
    <r>
      <rPr>
        <color rgb="FF3D85C6"/>
        <u/>
      </rPr>
      <t>Neighborhood Health TN</t>
    </r>
    <r>
      <rPr>
        <color rgb="FF000000"/>
      </rPr>
      <t xml:space="preserve"> 615-227-3000, Multi Locaitons</t>
    </r>
  </si>
  <si>
    <t>Street Works</t>
  </si>
  <si>
    <r>
      <rPr>
        <color rgb="FF3D85C6"/>
        <u/>
      </rPr>
      <t>Matthew Walker Center</t>
    </r>
    <r>
      <rPr>
        <color rgb="FF000000"/>
      </rPr>
      <t>, 615-327-9400, Multi Locations</t>
    </r>
  </si>
  <si>
    <r>
      <rPr>
        <color rgb="FF3D85C6"/>
        <u/>
      </rPr>
      <t>Faith Medical</t>
    </r>
    <r>
      <rPr>
        <color rgb="FF000000"/>
      </rPr>
      <t xml:space="preserve"> 615-341-0808</t>
    </r>
  </si>
  <si>
    <r>
      <rPr>
        <color rgb="FF3D85C6"/>
        <u/>
      </rPr>
      <t>Siloam Health</t>
    </r>
    <r>
      <rPr>
        <color rgb="FF000000"/>
      </rPr>
      <t xml:space="preserve"> 615-298-5406</t>
    </r>
  </si>
  <si>
    <t xml:space="preserve">FORMERLY INCARCERATED  </t>
  </si>
  <si>
    <t>615-870-1126</t>
  </si>
  <si>
    <t>615-349-8349</t>
  </si>
  <si>
    <t>615-227-6000</t>
  </si>
  <si>
    <t>615-320-5325</t>
  </si>
  <si>
    <t>615-838-5247</t>
  </si>
  <si>
    <t>615-399-9111</t>
  </si>
  <si>
    <t>615-297-9287</t>
  </si>
  <si>
    <t>615-327-9654</t>
  </si>
  <si>
    <t>615-513-8042</t>
  </si>
  <si>
    <t xml:space="preserve">VETERAN AND MILITARY </t>
  </si>
  <si>
    <t>615-327-4751</t>
  </si>
  <si>
    <t>615-251-9791</t>
  </si>
  <si>
    <t>Veteran's Affairs Supportive Housing (VASH)</t>
  </si>
  <si>
    <t>615-873-6400</t>
  </si>
  <si>
    <t>615-478-6411</t>
  </si>
  <si>
    <t>615-248-1981</t>
  </si>
  <si>
    <t>615-741-2345</t>
  </si>
  <si>
    <t>615-460-4385</t>
  </si>
  <si>
    <t>615-366-1220</t>
  </si>
  <si>
    <t xml:space="preserve">MILITARY PET RESOURCES </t>
  </si>
  <si>
    <t>Fostering During Deployment</t>
  </si>
  <si>
    <t xml:space="preserve">Fostering During Deployment and Assistance with Veterinary Bills </t>
  </si>
  <si>
    <t xml:space="preserve">Offers Financial Assistance to Veterans with PTSD and TBI in Adopting Service Dogs </t>
  </si>
  <si>
    <t>IMMIGRANT AND REFUGEE ADVOCACY AND RESOURCES</t>
  </si>
  <si>
    <t>615-320-5152</t>
  </si>
  <si>
    <t>615-880-2264</t>
  </si>
  <si>
    <t>615-562-2222</t>
  </si>
  <si>
    <t xml:space="preserve">615-454-6185 </t>
  </si>
  <si>
    <t>615-649-8858</t>
  </si>
  <si>
    <t>615-833-0384</t>
  </si>
  <si>
    <t>615-315-9681</t>
  </si>
  <si>
    <t>615-669-6679</t>
  </si>
  <si>
    <t>615-828-9664</t>
  </si>
  <si>
    <t xml:space="preserve">615-601-2820 </t>
  </si>
  <si>
    <t>SENIOR ADVOCACY AND RESOURCES</t>
  </si>
  <si>
    <t>LGBTQ+ ADVOCACY AND RESOURCES</t>
  </si>
  <si>
    <t>615-353-4235</t>
  </si>
  <si>
    <t>615-208-4528</t>
  </si>
  <si>
    <t>615-255-1010</t>
  </si>
  <si>
    <t>615-936-3879</t>
  </si>
  <si>
    <t>615-743-3400</t>
  </si>
  <si>
    <t>TN Equality Project</t>
  </si>
  <si>
    <t xml:space="preserve">DOMESTIC VIOLENCE SHELTERS </t>
  </si>
  <si>
    <t>615-269-9922</t>
  </si>
  <si>
    <t>615-256-5959</t>
  </si>
  <si>
    <t>615-599-5777</t>
  </si>
  <si>
    <t xml:space="preserve">615-860-0003 </t>
  </si>
  <si>
    <t>Family Safety Center</t>
  </si>
  <si>
    <t>TRANSITIONAL HOUSING FOR WOMEN AND FAMILIES</t>
  </si>
  <si>
    <t>TRANSITIONAL HOUSING FOR MEN</t>
  </si>
  <si>
    <t>615-742-3463</t>
  </si>
  <si>
    <t>615-385-1696</t>
  </si>
  <si>
    <t>615-255-5222</t>
  </si>
  <si>
    <t>615-383-9577</t>
  </si>
  <si>
    <t>615-251-8805</t>
  </si>
  <si>
    <t>615-506-3623</t>
  </si>
  <si>
    <t>615-383-2755</t>
  </si>
  <si>
    <t>SOBER LIVING TRANSITIONAL HOUSING</t>
  </si>
  <si>
    <t>TRANSITIONAL HOUSING, CONTINUED</t>
  </si>
  <si>
    <t>615-926-2878</t>
  </si>
  <si>
    <t>615-944-8101</t>
  </si>
  <si>
    <t>615-309-7087</t>
  </si>
  <si>
    <t>615-668-5800</t>
  </si>
  <si>
    <t xml:space="preserve">HOMELESS SHELTERS </t>
  </si>
  <si>
    <t>Partners with SAFPAW to foster homeless pets off-site.</t>
  </si>
  <si>
    <t>Offers housing to both the homeless and their dogs.</t>
  </si>
  <si>
    <t>615-327-4455</t>
  </si>
  <si>
    <t>Year-Round Shelter for Youth 13-17</t>
  </si>
  <si>
    <t>Winter Shelter for Youth 18-24</t>
  </si>
  <si>
    <t>615-256-8195</t>
  </si>
  <si>
    <t>Family Shelter</t>
  </si>
  <si>
    <t>615-250-7200</t>
  </si>
  <si>
    <t>Shelter and Programs for Homeless Youth</t>
  </si>
  <si>
    <t>Year-Round Shelter</t>
  </si>
  <si>
    <t>LOW-COST BASIC MEDICAL CARE IN NASVILLE, TN</t>
  </si>
  <si>
    <t xml:space="preserve">223 Largo Drive
Nashville, TN 37211
615-834-6441 </t>
  </si>
  <si>
    <t xml:space="preserve">Microchip, Spay and Neuter
Basic Vaccination, Prevention and Testing, Dewormer
Dental Care, Specialized Surgery, Euthanasia </t>
  </si>
  <si>
    <t>943B Dr. Richard G Adams Dr.
Nashville, TN 37207
615-512-5001</t>
  </si>
  <si>
    <t xml:space="preserve">Microchip, Spay and Neuter
Basic Vaccination, Prevention and Testing, Dewormer
Euthanasia </t>
  </si>
  <si>
    <t>2509 B Nolensville Pike
Nashville, TN 37211
615-244-3040</t>
  </si>
  <si>
    <t>SPAY, NEUTER AND MISC. MEDICAL IN TN</t>
  </si>
  <si>
    <t>865-215-6599</t>
  </si>
  <si>
    <t xml:space="preserve">Spay and Neuter and Annual Vaccination in Knoxville, TN </t>
  </si>
  <si>
    <t>615-244-3040</t>
  </si>
  <si>
    <t>Spay and Neuter and Veterinary Care - 6 Locations Across Nashville, TN</t>
  </si>
  <si>
    <t>615-452-2233</t>
  </si>
  <si>
    <t>Spay and Neuter, Vaccination and Microchip, Heatworm and FIV/FeLV Test in Sumner Co.</t>
  </si>
  <si>
    <t>615-474-8390</t>
  </si>
  <si>
    <t xml:space="preserve">Mobile Unit - Call for Route Schedule and Services Available </t>
  </si>
  <si>
    <t>615-512-5001</t>
  </si>
  <si>
    <t>615-794-8925</t>
  </si>
  <si>
    <t>Spay and Neuter</t>
  </si>
  <si>
    <t>615-281-0664</t>
  </si>
  <si>
    <t>931-372-2728</t>
  </si>
  <si>
    <t>Spay and Neuter in Putnam Co.</t>
  </si>
  <si>
    <t>MIDDLE TENNESSEE SPAY NEUTER CLINIC</t>
  </si>
  <si>
    <t>931-684-5353</t>
  </si>
  <si>
    <t>Spay and Neuter in Bedford Co.</t>
  </si>
  <si>
    <t>615-828-1206</t>
  </si>
  <si>
    <t>Spay and Neuter, Transport for Medical Care</t>
  </si>
  <si>
    <t>615-862-7928</t>
  </si>
  <si>
    <t>Microchip and Rabies Vax.</t>
  </si>
  <si>
    <t>Prescription Medications</t>
  </si>
  <si>
    <t xml:space="preserve">CREDIT CARDS FOR VET CARE - Most organizations prefer applicants attempt to use this prior to applying for grants. </t>
  </si>
  <si>
    <t xml:space="preserve">CROWDFUNDING FOR VET CARE </t>
  </si>
  <si>
    <t xml:space="preserve">CANCER AND NON-BASIC, NON-URGENT, FUNDS - Please note diagnostics are not covered by most organizations. </t>
  </si>
  <si>
    <t xml:space="preserve">Cancer + Other Life-Threatening Illnesses *Blue Pearl Clinics Only </t>
  </si>
  <si>
    <t>Cancer, Heartworm + and Those in Need of Wheelchairs and Non-Routine Care</t>
  </si>
  <si>
    <t>Wheelchairs for Elderly, Disabled and Injured Pets - Must Have Proof of Goverment Assistance to Apply</t>
  </si>
  <si>
    <t xml:space="preserve">Chemotherapy and Radiation Treatment Only </t>
  </si>
  <si>
    <t xml:space="preserve">Chemotherapy and Related Cancer Treatments </t>
  </si>
  <si>
    <t xml:space="preserve">Chemotherapy and Surgery Only </t>
  </si>
  <si>
    <t>Provides Fund-Matching to Reduce Economic Medical Euthanasia.</t>
  </si>
  <si>
    <t>Non-Basic, Non-Urgent Care such as Cancer, Heart Disease and Broken Leg.</t>
  </si>
  <si>
    <t>Tumors, Broken Bones, Ambulatory Care, Expensive Medication or Post-Surgical Prosthetic Devices.</t>
  </si>
  <si>
    <t xml:space="preserve">The animal must have a treatable disease or injury. </t>
  </si>
  <si>
    <t>DIABETIC CATS IN NEED</t>
  </si>
  <si>
    <t>One-time assistance for those not below poverty line and long-term program avail to those below poverty line.</t>
  </si>
  <si>
    <t>BOW WOW BUDDIES</t>
  </si>
  <si>
    <t>Grants may be up to $2500 but the average awarded is $1200. This may be used for amputation surgery, intestinal blockage, broken limb repair, cancer treatment or other life-altering procedures.</t>
  </si>
  <si>
    <t>TRIPAWDS</t>
  </si>
  <si>
    <t>Small Grants Only &lt;$500, available to those below the poverty line to assist with amputation surgery.</t>
  </si>
  <si>
    <t>EMERGENCY FUNDS</t>
  </si>
  <si>
    <t>Critically Injured, Neglected and Abused Animals * Must Be Spayed or Neutered</t>
  </si>
  <si>
    <t xml:space="preserve">Funds emergency and life-threatening situations only. </t>
  </si>
  <si>
    <t xml:space="preserve">Small Grants Only &lt;$150 </t>
  </si>
  <si>
    <t>Small Grants Only &lt;$400</t>
  </si>
  <si>
    <t>HEARTS UNITED FOR ANIMALS</t>
  </si>
  <si>
    <t>This fund may only be used by those who have been turned down from Care Credit.</t>
  </si>
  <si>
    <t>STARelief</t>
  </si>
  <si>
    <t>Small Grants Only &lt;$500 available to those below the poverty line to assist with emergency medical, spay and neuter, routine care and end of life services.</t>
  </si>
  <si>
    <t>BREED-SPECIFIC ASSISTANCE PROGRAMS</t>
  </si>
  <si>
    <t xml:space="preserve">Financial Aid for Injured or Ill Rescued West Highland Terriers in Foster or within 6 months of Adoption. </t>
  </si>
  <si>
    <t xml:space="preserve">Financial Aid for Labrador Retrievers in need or urgent and short-term medical care.  </t>
  </si>
  <si>
    <t>HELPING HANDS</t>
  </si>
  <si>
    <t>Financial Aid for Bully Breeds in need of emergency and orthopedic surgery, skin and ear infections and annual wellness.</t>
  </si>
  <si>
    <t xml:space="preserve">MISC. </t>
  </si>
  <si>
    <t xml:space="preserve">App and Website Allow You to Locate Lowest Cost Pharmacy to Fill Scripts </t>
  </si>
  <si>
    <t xml:space="preserve">Free Counseling for People with Cancer and Financial Assistance for their Pets * Must Be Recieving Treatment </t>
  </si>
  <si>
    <t xml:space="preserve">BEHAVIORAL EUTHANASIA </t>
  </si>
  <si>
    <t xml:space="preserve">MEDICAL EUTHANASIA </t>
  </si>
  <si>
    <t>IN-HOME EUTHANASIA SERVICES IN NASHVILLE, TN</t>
  </si>
  <si>
    <t>LEARNING LIBRARIES</t>
  </si>
  <si>
    <t>KID-FRIENDLY LEARNING RESOURCES</t>
  </si>
  <si>
    <t>Family Paw's Coloring Pages: Identifying Dog Body Language</t>
  </si>
  <si>
    <t>DOG HEALTH</t>
  </si>
  <si>
    <t>GROOMING</t>
  </si>
  <si>
    <t xml:space="preserve">DOGS WITH DISABILITIES  </t>
  </si>
  <si>
    <t>Pet Allergies</t>
  </si>
  <si>
    <t>Caring for Outdoor Pets</t>
  </si>
  <si>
    <t>DOGS AND DOGS</t>
  </si>
  <si>
    <t>DOGS AND CATS</t>
  </si>
  <si>
    <t>DOG AND HUMAN FAMILY RELATIONSHIPS</t>
  </si>
  <si>
    <t>American Humane's Guide to Pets and Children</t>
  </si>
  <si>
    <t>Aggression Toward Unfamiliar Dogs</t>
  </si>
  <si>
    <t>Considerations for the Dog Park</t>
  </si>
  <si>
    <t>SOCIALIZATION AND ENRICHMENT</t>
  </si>
  <si>
    <t>BEHAVIOR MANAGEMENT AND MODIFICATION</t>
  </si>
  <si>
    <t xml:space="preserve">TRAINING </t>
  </si>
  <si>
    <t>Using Visual Barriers</t>
  </si>
  <si>
    <t>Managing Environments to Improve Behavior</t>
  </si>
  <si>
    <t>Enriching Your Dog's Life</t>
  </si>
  <si>
    <t>Positive Reinforcement in Training</t>
  </si>
  <si>
    <t xml:space="preserve">Desensitization and Counter-Conditioning </t>
  </si>
  <si>
    <t>Mental Enrichment for Dogs</t>
  </si>
  <si>
    <t>Teaching Name Recognition</t>
  </si>
  <si>
    <t>Teaching Come</t>
  </si>
  <si>
    <t>Canine Medicine to Pair with Behavior Modification</t>
  </si>
  <si>
    <t>Training Your Dog for Reliable Recall</t>
  </si>
  <si>
    <t>Differential Reinforcement of Incompatible Behaviors</t>
  </si>
  <si>
    <t>Recall Training, Continued</t>
  </si>
  <si>
    <t xml:space="preserve">DIY: How to Make a Flirt Pole </t>
  </si>
  <si>
    <t>NHA Approved! Long-Lasting Chew Toys and Lick Mats</t>
  </si>
  <si>
    <t>NHA Approved! Toys and Aids for Stress Reduction</t>
  </si>
  <si>
    <t>NHA Approved! Mental Enrichment and Scent Games</t>
  </si>
  <si>
    <t>TRICKS TO LEARN</t>
  </si>
  <si>
    <t>"Sit"</t>
  </si>
  <si>
    <t>"Leave It"</t>
  </si>
  <si>
    <t>"Watch Me"</t>
  </si>
  <si>
    <t>"Settle"</t>
  </si>
  <si>
    <t>"Drop It"</t>
  </si>
  <si>
    <t>"Stay"</t>
  </si>
  <si>
    <t>"Down"</t>
  </si>
  <si>
    <t>"Go to Your Place"</t>
  </si>
  <si>
    <t>"Come"</t>
  </si>
  <si>
    <t>CRATE TRAINING AND HOUSETRAINING</t>
  </si>
  <si>
    <t xml:space="preserve">SEPERATION RELATED PROBLEMS (SRP) </t>
  </si>
  <si>
    <t>FEAR AND ANXIETY</t>
  </si>
  <si>
    <t>Video: Helping Your Dog Relax While Alone</t>
  </si>
  <si>
    <t>Teaching Go To Your Place</t>
  </si>
  <si>
    <t>Re-Housetraining Your Dog</t>
  </si>
  <si>
    <t>Senior Dogs and Indoor Housetraining</t>
  </si>
  <si>
    <t>Stress Relief for Dogs</t>
  </si>
  <si>
    <t xml:space="preserve">My Dog Was Attacked by Another Dog - Now What? </t>
  </si>
  <si>
    <t>Karen Overall's Relaxation Protocol</t>
  </si>
  <si>
    <t>The Formerly House-trained Dog</t>
  </si>
  <si>
    <t xml:space="preserve">Teaching Speak and Quiet </t>
  </si>
  <si>
    <t>SO YOU HAVE AN ESCAPE ARTIST</t>
  </si>
  <si>
    <t xml:space="preserve">PRODUCTS FOR THE ESCAPE ARTIST </t>
  </si>
  <si>
    <t>OUTDOOR PETS</t>
  </si>
  <si>
    <t>Dig Defence - Barriers for the Bottom of Your Fence</t>
  </si>
  <si>
    <t>DIY Rollers to Prevent Escape</t>
  </si>
  <si>
    <t>Teaching Wait at the Door</t>
  </si>
  <si>
    <t>AROUSAL</t>
  </si>
  <si>
    <t xml:space="preserve">REACTIVITY </t>
  </si>
  <si>
    <t>RESOURCE GAURDING, ETC.</t>
  </si>
  <si>
    <t>The Resource Guarding Protocol</t>
  </si>
  <si>
    <t>Managing Barrier Reactivity</t>
  </si>
  <si>
    <t>Video: WSVM Teaches a Dog to Trade</t>
  </si>
  <si>
    <t xml:space="preserve">Resource Guarding, Multi Dog Scenario </t>
  </si>
  <si>
    <t>Managing and Modifying Barrier Reactivity</t>
  </si>
  <si>
    <t>Muzzle Up, Pup - The Pro-Muzzle Facebook Group</t>
  </si>
  <si>
    <t>Teaching "Off"</t>
  </si>
  <si>
    <t xml:space="preserve">Video: Teaching "Let's Go!" </t>
  </si>
  <si>
    <t>Choosing the Right Harness for Your Dog</t>
  </si>
  <si>
    <t xml:space="preserve">Video: Teaching "Look at That" </t>
  </si>
  <si>
    <t>Bite Inhibition Training</t>
  </si>
  <si>
    <t>Video: Teaching "Find It"</t>
  </si>
  <si>
    <t>Video: Practicing Emergency U-Turns</t>
  </si>
  <si>
    <t>Loose Leash Training</t>
  </si>
  <si>
    <t>Aiding Dogs with High Prey Drive</t>
  </si>
  <si>
    <t>AGGRESSION</t>
  </si>
  <si>
    <t xml:space="preserve">DANGEROUS DOG LAW </t>
  </si>
  <si>
    <t xml:space="preserve">VCA: Aggression Diagnosis and Overview </t>
  </si>
  <si>
    <t>Dangerous Dog Laws: An Overview</t>
  </si>
  <si>
    <t>Nashville, TN Law As It Relates to Dangerous Dogs</t>
  </si>
  <si>
    <t>What to Do If Your Dog Is In Danger of Being Declared Vicious</t>
  </si>
  <si>
    <t>A Breakdown of Civil Cases in the US</t>
  </si>
  <si>
    <t>Lap of Love: In-Home Euthanasia in Nashville, TN</t>
  </si>
  <si>
    <t>Aggression Toward Children: Impact and Prevention</t>
  </si>
  <si>
    <t xml:space="preserve">Finding an Attorney </t>
  </si>
  <si>
    <t>Aggression Toward Family Members: Assessing Risk</t>
  </si>
  <si>
    <t>Defending Your Dog: Buy the E-Book</t>
  </si>
  <si>
    <t xml:space="preserve">Is Your Dog a Dangerous Dog? 28 Questions to Ask Yourself </t>
  </si>
  <si>
    <t>Animal Law State-to-State</t>
  </si>
  <si>
    <t>Barrier Aggression (Daycare, Dog Parks and More)</t>
  </si>
  <si>
    <t xml:space="preserve">FINDING A TRAINER </t>
  </si>
  <si>
    <t xml:space="preserve">TN FORCE-FREE SCIENCE-BASED TRAINING FACILITIES </t>
  </si>
  <si>
    <t>What’s That Abbreviation Mean? Understanding Trainer Titles</t>
  </si>
  <si>
    <t>Cooperative Canine</t>
  </si>
  <si>
    <t>Nashville Tail Blazers</t>
  </si>
  <si>
    <t>YOUTUBE TRAINERS</t>
  </si>
  <si>
    <t>BEST VIEWED FOR..</t>
  </si>
  <si>
    <t>Behavioral management, trick training and veterinary guidance on misc. topics.</t>
  </si>
  <si>
    <t>Basic obedience, puppy training and trick training. Some shelter-dog specific training.</t>
  </si>
  <si>
    <t>Basic obedience, puppy training, dog sports and trick training.</t>
  </si>
  <si>
    <t>Trick trainng, relationship-building and working through common behavior problems.</t>
  </si>
  <si>
    <t>Everything from before you get your puppy to dealing with common behavior problems.</t>
  </si>
  <si>
    <t>Behavior problems such as aggression and anxiety. People who like to ask questions as they learn.</t>
  </si>
  <si>
    <t>Jenny Efimova (Dogminded)</t>
  </si>
  <si>
    <t>Behavior modfication, cues, etc.</t>
  </si>
  <si>
    <t>PODCASTS FOR DOG TRAINING</t>
  </si>
  <si>
    <t>The Bitey End of the Leash</t>
  </si>
  <si>
    <t>MOVING WITH PETS</t>
  </si>
  <si>
    <t>PET-FRIENDLY APARTMENTS AND RENTALS</t>
  </si>
  <si>
    <t>TRAVELING WITH PETS</t>
  </si>
  <si>
    <t>Air Animals International Pet Shipping</t>
  </si>
  <si>
    <t>KNOW YOUR RIGHTS</t>
  </si>
  <si>
    <t>SHARE INFORMATION</t>
  </si>
  <si>
    <t>TAKE ACTION</t>
  </si>
  <si>
    <t>10 Breed-Specific Legislation Facts with Resources</t>
  </si>
  <si>
    <t>INSURANCE COMPANIES WITHOUT BREED RESTRICTIONS</t>
  </si>
  <si>
    <t>BOARDING FACILITIES AND DAYCARES IN NASHVILLE, TN</t>
  </si>
  <si>
    <t>IN HOME PET-SITTING AND DOG-WALKING IN NASHVILLE, TN</t>
  </si>
  <si>
    <t xml:space="preserve">Wag and Rover (Mobile Apps) </t>
  </si>
  <si>
    <t>EMERGENCY BOARDING, FOSTERING AND NATURAL DISASTER PREP</t>
  </si>
  <si>
    <t xml:space="preserve">MILITARY RESOURCES </t>
  </si>
  <si>
    <t>Fostering During Deployment + Veterinary Bill Assist</t>
  </si>
  <si>
    <t xml:space="preserve">Grants for Veterans with PTSD + TBI to Adopt Service Dogs </t>
  </si>
  <si>
    <t>911 Foster Pets - Emergency Peer-to-Peer Fostering</t>
  </si>
  <si>
    <t xml:space="preserve">TIPS ON REHOMING </t>
  </si>
  <si>
    <t>DIRECT ADOPTION NETWORKS</t>
  </si>
  <si>
    <t xml:space="preserve">RESCUE AND SHELTER DIRECTORIES </t>
  </si>
  <si>
    <t>San Francisco SPCA Cat Behavior Guide</t>
  </si>
  <si>
    <t xml:space="preserve">CAT HEALTH </t>
  </si>
  <si>
    <t>CATS AND PETS</t>
  </si>
  <si>
    <t>CATS AND DOGS</t>
  </si>
  <si>
    <t>CATS AND HUMANS</t>
  </si>
  <si>
    <t>Cornell EDU - Types of Aggression in Cats</t>
  </si>
  <si>
    <t>DVM 360 - Treating Aggression in Cats</t>
  </si>
  <si>
    <t>Introducing a Kitten to Your Resident Cat</t>
  </si>
  <si>
    <t xml:space="preserve">BEHAVIOR </t>
  </si>
  <si>
    <t>ANXIETY</t>
  </si>
  <si>
    <t>FEAR</t>
  </si>
  <si>
    <t>Cats Fearful of Sudden Movement</t>
  </si>
  <si>
    <t>Stress Relief for Cats</t>
  </si>
  <si>
    <t>Cats Fearful of Noise</t>
  </si>
  <si>
    <t>Feline Behavior</t>
  </si>
  <si>
    <t>TRAINING</t>
  </si>
  <si>
    <t>ENRICHMENT</t>
  </si>
  <si>
    <t>"Sit Pretty"</t>
  </si>
  <si>
    <t>Clicker Training for Cats</t>
  </si>
  <si>
    <t>"Roll Over"</t>
  </si>
  <si>
    <t>DIY Cat Enrichment</t>
  </si>
  <si>
    <t>Video: Clicker Train Your Cat</t>
  </si>
  <si>
    <t>"Paws"</t>
  </si>
  <si>
    <t>Cat Toys and How to Use Them</t>
  </si>
  <si>
    <t>Improving Performance and Reliability</t>
  </si>
  <si>
    <t>"Target"</t>
  </si>
  <si>
    <t>Walking on a Leash</t>
  </si>
  <si>
    <t>Wearing a Harness</t>
  </si>
  <si>
    <t>"High Five"</t>
  </si>
  <si>
    <t>NHA Approved! Hunt and Play Toys for Cats</t>
  </si>
  <si>
    <t xml:space="preserve">LITTER-TRAINING  </t>
  </si>
  <si>
    <t>NAIL CARE AND SCRATCHING</t>
  </si>
  <si>
    <t>MISC.</t>
  </si>
  <si>
    <t>DIY Cat Fence</t>
  </si>
  <si>
    <t>Catio Enclosures</t>
  </si>
  <si>
    <t>Cornell EDU: Cognitive Dysfunction</t>
  </si>
  <si>
    <t>Cornell EDU: Scratching, Fabric and Plant Chewing</t>
  </si>
  <si>
    <t>Behavioral Aid: Medication (Page 32)</t>
  </si>
  <si>
    <t>Door-Dashing Prevention</t>
  </si>
  <si>
    <t>BECOMING A CAREGIVER FOR COMMUNITY CATS</t>
  </si>
  <si>
    <t>TRAP NEUTER RETURN</t>
  </si>
  <si>
    <t>COEXISTING WITH COMMUNITY CATS</t>
  </si>
  <si>
    <t>OUTDOOR KITTENS</t>
  </si>
  <si>
    <t>Video: Caring for Bottle-Fed Kittens</t>
  </si>
  <si>
    <t>Video: Beyond the Bottle, Caring for Growing Kittens</t>
  </si>
  <si>
    <t>Video: Keeping Kittens Healthy</t>
  </si>
  <si>
    <t>Video: Feral Felines and Kittens Found Outdoors</t>
  </si>
  <si>
    <t>NATURAL DISASTER PREP</t>
  </si>
  <si>
    <t xml:space="preserve">EMERGENCY BOARDING AND FOSTERING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</si>
</sst>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2">
    <font>
      <sz val="10.0"/>
      <color rgb="FF000000"/>
      <name val="Arial"/>
    </font>
    <font>
      <b/>
      <u/>
      <sz val="12.0"/>
      <color rgb="FFFFFFFF"/>
      <name val="Calibri"/>
    </font>
    <font>
      <b/>
      <sz val="12.0"/>
      <color rgb="FFFFFFFF"/>
      <name val="Calibri"/>
    </font>
    <font>
      <sz val="12.0"/>
      <color rgb="FFFFFFFF"/>
      <name val="Calibri"/>
    </font>
    <font>
      <sz val="12.0"/>
      <color theme="1"/>
      <name val="Calibri"/>
    </font>
    <font>
      <color theme="1"/>
      <name val="Arial"/>
    </font>
    <font>
      <u/>
      <sz val="12.0"/>
      <color rgb="FF3D85C6"/>
      <name val="Calibri"/>
    </font>
    <font>
      <sz val="12.0"/>
      <color rgb="FF000000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color rgb="FFFFFFFF"/>
      <name val="Arial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sz val="12.0"/>
      <color rgb="FF293941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C78D8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1155CC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  <font>
      <u/>
      <sz val="12.0"/>
      <color rgb="FF3D85C6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3">
    <border/>
    <border>
      <right/>
    </border>
    <border>
      <left/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2" fontId="3" numFmtId="0" xfId="0" applyAlignment="1" applyFont="1">
      <alignment vertical="top"/>
    </xf>
    <xf borderId="0" fillId="2" fontId="4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3" fontId="6" numFmtId="0" xfId="0" applyAlignment="1" applyFill="1" applyFont="1">
      <alignment vertical="bottom"/>
    </xf>
    <xf borderId="0" fillId="3" fontId="7" numFmtId="0" xfId="0" applyAlignment="1" applyFont="1">
      <alignment vertical="bottom"/>
    </xf>
    <xf borderId="0" fillId="3" fontId="8" numFmtId="0" xfId="0" applyAlignment="1" applyFont="1">
      <alignment horizontal="left"/>
    </xf>
    <xf borderId="0" fillId="3" fontId="7" numFmtId="0" xfId="0" applyAlignment="1" applyFont="1">
      <alignment horizontal="left" readingOrder="0"/>
    </xf>
    <xf borderId="0" fillId="3" fontId="9" numFmtId="0" xfId="0" applyAlignment="1" applyFont="1">
      <alignment horizontal="left" readingOrder="0"/>
    </xf>
    <xf borderId="0" fillId="0" fontId="4" numFmtId="0" xfId="0" applyFont="1"/>
    <xf borderId="0" fillId="3" fontId="7" numFmtId="0" xfId="0" applyAlignment="1" applyFont="1">
      <alignment readingOrder="0" vertical="bottom"/>
    </xf>
    <xf borderId="0" fillId="2" fontId="3" numFmtId="0" xfId="0" applyAlignment="1" applyFont="1">
      <alignment vertical="bottom"/>
    </xf>
    <xf borderId="0" fillId="3" fontId="10" numFmtId="0" xfId="0" applyAlignment="1" applyFont="1">
      <alignment vertical="bottom"/>
    </xf>
    <xf borderId="0" fillId="3" fontId="4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4" numFmtId="0" xfId="0" applyAlignment="1" applyFont="1">
      <alignment vertical="bottom"/>
    </xf>
    <xf borderId="1" fillId="3" fontId="12" numFmtId="0" xfId="0" applyAlignment="1" applyBorder="1" applyFont="1">
      <alignment shrinkToFit="0" vertical="bottom" wrapText="0"/>
    </xf>
    <xf borderId="0" fillId="2" fontId="3" numFmtId="0" xfId="0" applyAlignment="1" applyFont="1">
      <alignment readingOrder="0" vertical="top"/>
    </xf>
    <xf borderId="0" fillId="2" fontId="3" numFmtId="0" xfId="0" applyAlignment="1" applyFont="1">
      <alignment horizontal="left"/>
    </xf>
    <xf borderId="0" fillId="3" fontId="13" numFmtId="0" xfId="0" applyAlignment="1" applyFont="1">
      <alignment vertical="bottom"/>
    </xf>
    <xf borderId="0" fillId="3" fontId="7" numFmtId="0" xfId="0" applyAlignment="1" applyFont="1">
      <alignment vertical="bottom"/>
    </xf>
    <xf borderId="0" fillId="3" fontId="7" numFmtId="0" xfId="0" applyAlignment="1" applyFont="1">
      <alignment horizontal="left"/>
    </xf>
    <xf borderId="0" fillId="2" fontId="3" numFmtId="0" xfId="0" applyAlignment="1" applyFont="1">
      <alignment readingOrder="0" vertical="bottom"/>
    </xf>
    <xf borderId="0" fillId="3" fontId="7" numFmtId="0" xfId="0" applyAlignment="1" applyFont="1">
      <alignment horizontal="left" readingOrder="0"/>
    </xf>
    <xf borderId="0" fillId="3" fontId="7" numFmtId="0" xfId="0" applyAlignment="1" applyFont="1">
      <alignment readingOrder="0" vertical="bottom"/>
    </xf>
    <xf borderId="0" fillId="3" fontId="14" numFmtId="0" xfId="0" applyAlignment="1" applyFont="1">
      <alignment readingOrder="0" vertical="bottom"/>
    </xf>
    <xf borderId="0" fillId="3" fontId="7" numFmtId="0" xfId="0" applyAlignment="1" applyFont="1">
      <alignment horizontal="right"/>
    </xf>
    <xf borderId="0" fillId="2" fontId="15" numFmtId="0" xfId="0" applyAlignment="1" applyFont="1">
      <alignment readingOrder="0" vertical="bottom"/>
    </xf>
    <xf borderId="0" fillId="0" fontId="16" numFmtId="0" xfId="0" applyAlignment="1" applyFont="1">
      <alignment readingOrder="0"/>
    </xf>
    <xf borderId="0" fillId="0" fontId="17" numFmtId="0" xfId="0" applyAlignment="1" applyFont="1">
      <alignment readingOrder="0" vertical="bottom"/>
    </xf>
    <xf borderId="0" fillId="0" fontId="10" numFmtId="0" xfId="0" applyAlignment="1" applyFont="1">
      <alignment readingOrder="0"/>
    </xf>
    <xf borderId="0" fillId="3" fontId="10" numFmtId="0" xfId="0" applyAlignment="1" applyFont="1">
      <alignment horizontal="right"/>
    </xf>
    <xf borderId="0" fillId="0" fontId="10" numFmtId="0" xfId="0" applyAlignment="1" applyFont="1">
      <alignment readingOrder="0" vertical="bottom"/>
    </xf>
    <xf borderId="0" fillId="3" fontId="10" numFmtId="0" xfId="0" applyAlignment="1" applyFont="1">
      <alignment horizontal="right" readingOrder="0"/>
    </xf>
    <xf borderId="0" fillId="2" fontId="3" numFmtId="0" xfId="0" applyAlignment="1" applyFont="1">
      <alignment horizontal="left" readingOrder="0"/>
    </xf>
    <xf borderId="0" fillId="3" fontId="10" numFmtId="0" xfId="0" applyAlignment="1" applyFont="1">
      <alignment horizontal="left" readingOrder="0"/>
    </xf>
    <xf borderId="0" fillId="3" fontId="10" numFmtId="0" xfId="0" applyAlignment="1" applyFont="1">
      <alignment horizontal="left" readingOrder="0"/>
    </xf>
    <xf borderId="0" fillId="3" fontId="18" numFmtId="0" xfId="0" applyAlignment="1" applyFont="1">
      <alignment readingOrder="0" vertical="top"/>
    </xf>
    <xf borderId="0" fillId="3" fontId="7" numFmtId="0" xfId="0" applyAlignment="1" applyFont="1">
      <alignment readingOrder="0" vertical="top"/>
    </xf>
    <xf borderId="0" fillId="3" fontId="7" numFmtId="0" xfId="0" applyAlignment="1" applyFont="1">
      <alignment horizontal="left" readingOrder="0" vertical="bottom"/>
    </xf>
    <xf borderId="0" fillId="3" fontId="10" numFmtId="0" xfId="0" applyAlignment="1" applyFont="1">
      <alignment horizontal="left"/>
    </xf>
    <xf borderId="0" fillId="3" fontId="19" numFmtId="0" xfId="0" applyAlignment="1" applyFont="1">
      <alignment horizontal="left"/>
    </xf>
    <xf borderId="0" fillId="0" fontId="10" numFmtId="0" xfId="0" applyAlignment="1" applyFont="1">
      <alignment horizontal="right"/>
    </xf>
    <xf borderId="0" fillId="2" fontId="3" numFmtId="0" xfId="0" applyAlignment="1" applyFont="1">
      <alignment horizontal="left" readingOrder="0"/>
    </xf>
    <xf borderId="0" fillId="0" fontId="20" numFmtId="0" xfId="0" applyAlignment="1" applyFont="1">
      <alignment horizontal="left" readingOrder="0" vertical="bottom"/>
    </xf>
    <xf borderId="0" fillId="0" fontId="4" numFmtId="0" xfId="0" applyAlignment="1" applyFont="1">
      <alignment horizontal="left" readingOrder="0"/>
    </xf>
    <xf borderId="0" fillId="0" fontId="21" numFmtId="0" xfId="0" applyAlignment="1" applyFont="1">
      <alignment horizontal="left" readingOrder="0"/>
    </xf>
    <xf borderId="0" fillId="0" fontId="4" numFmtId="0" xfId="0" applyAlignment="1" applyFont="1">
      <alignment horizontal="left" readingOrder="0" vertical="bottom"/>
    </xf>
    <xf borderId="0" fillId="0" fontId="4" numFmtId="0" xfId="0" applyAlignment="1" applyFont="1">
      <alignment horizontal="left" readingOrder="0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22" numFmtId="0" xfId="0" applyAlignment="1" applyFont="1">
      <alignment horizontal="left" readingOrder="0" shrinkToFit="0" vertical="bottom" wrapText="0"/>
    </xf>
    <xf borderId="1" fillId="0" fontId="4" numFmtId="0" xfId="0" applyAlignment="1" applyBorder="1" applyFont="1">
      <alignment horizontal="left" vertical="bottom"/>
    </xf>
    <xf borderId="1" fillId="0" fontId="4" numFmtId="0" xfId="0" applyAlignment="1" applyBorder="1" applyFont="1">
      <alignment horizontal="left" readingOrder="0" vertical="bottom"/>
    </xf>
    <xf borderId="0" fillId="0" fontId="4" numFmtId="0" xfId="0" applyAlignment="1" applyFont="1">
      <alignment horizontal="left" vertical="bottom"/>
    </xf>
    <xf borderId="0" fillId="0" fontId="4" numFmtId="0" xfId="0" applyAlignment="1" applyFont="1">
      <alignment horizontal="left" vertical="bottom"/>
    </xf>
    <xf borderId="0" fillId="2" fontId="3" numFmtId="0" xfId="0" applyAlignment="1" applyFont="1">
      <alignment horizontal="left" readingOrder="0" vertical="bottom"/>
    </xf>
    <xf borderId="0" fillId="2" fontId="4" numFmtId="0" xfId="0" applyAlignment="1" applyFont="1">
      <alignment horizontal="left" vertical="bottom"/>
    </xf>
    <xf borderId="0" fillId="2" fontId="4" numFmtId="0" xfId="0" applyAlignment="1" applyFont="1">
      <alignment horizontal="left" vertical="bottom"/>
    </xf>
    <xf borderId="0" fillId="0" fontId="23" numFmtId="0" xfId="0" applyAlignment="1" applyFont="1">
      <alignment horizontal="left" vertical="bottom"/>
    </xf>
    <xf borderId="0" fillId="0" fontId="24" numFmtId="0" xfId="0" applyAlignment="1" applyFont="1">
      <alignment horizontal="left" readingOrder="0"/>
    </xf>
    <xf borderId="0" fillId="2" fontId="3" numFmtId="0" xfId="0" applyAlignment="1" applyFont="1">
      <alignment horizontal="left" vertical="bottom"/>
    </xf>
    <xf borderId="0" fillId="2" fontId="3" numFmtId="0" xfId="0" applyAlignment="1" applyFont="1">
      <alignment horizontal="left" vertical="bottom"/>
    </xf>
    <xf borderId="0" fillId="0" fontId="25" numFmtId="0" xfId="0" applyAlignment="1" applyFont="1">
      <alignment horizontal="left" vertical="bottom"/>
    </xf>
    <xf borderId="1" fillId="0" fontId="7" numFmtId="0" xfId="0" applyAlignment="1" applyBorder="1" applyFont="1">
      <alignment horizontal="left" readingOrder="0" shrinkToFit="0" wrapText="0"/>
    </xf>
    <xf borderId="0" fillId="0" fontId="24" numFmtId="0" xfId="0" applyAlignment="1" applyFont="1">
      <alignment horizontal="left" readingOrder="0"/>
    </xf>
    <xf borderId="0" fillId="0" fontId="26" numFmtId="0" xfId="0" applyAlignment="1" applyFont="1">
      <alignment vertical="bottom"/>
    </xf>
    <xf borderId="1" fillId="0" fontId="4" numFmtId="0" xfId="0" applyAlignment="1" applyBorder="1" applyFont="1">
      <alignment shrinkToFit="0" vertical="bottom" wrapText="0"/>
    </xf>
    <xf borderId="0" fillId="0" fontId="4" numFmtId="0" xfId="0" applyAlignment="1" applyFont="1">
      <alignment horizontal="left" readingOrder="0"/>
    </xf>
    <xf borderId="0" fillId="0" fontId="10" numFmtId="0" xfId="0" applyAlignment="1" applyFont="1">
      <alignment horizontal="left" readingOrder="0"/>
    </xf>
    <xf borderId="0" fillId="0" fontId="4" numFmtId="0" xfId="0" applyAlignment="1" applyFont="1">
      <alignment horizontal="right" readingOrder="0"/>
    </xf>
    <xf borderId="0" fillId="3" fontId="5" numFmtId="0" xfId="0" applyAlignment="1" applyFont="1">
      <alignment vertical="bottom"/>
    </xf>
    <xf borderId="0" fillId="0" fontId="10" numFmtId="0" xfId="0" applyAlignment="1" applyFont="1">
      <alignment horizontal="left" readingOrder="0"/>
    </xf>
    <xf borderId="0" fillId="0" fontId="5" numFmtId="0" xfId="0" applyAlignment="1" applyFont="1">
      <alignment vertical="bottom"/>
    </xf>
    <xf borderId="0" fillId="0" fontId="7" numFmtId="0" xfId="0" applyAlignment="1" applyFont="1">
      <alignment horizontal="left" readingOrder="0"/>
    </xf>
    <xf borderId="0" fillId="3" fontId="3" numFmtId="0" xfId="0" applyAlignment="1" applyFont="1">
      <alignment horizontal="left" readingOrder="0"/>
    </xf>
    <xf borderId="0" fillId="3" fontId="7" numFmtId="0" xfId="0" applyAlignment="1" applyFont="1">
      <alignment horizontal="left" readingOrder="0"/>
    </xf>
    <xf borderId="0" fillId="0" fontId="10" numFmtId="0" xfId="0" applyAlignment="1" applyFont="1">
      <alignment horizontal="left" readingOrder="0"/>
    </xf>
    <xf borderId="0" fillId="3" fontId="4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27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0" fontId="28" numFmtId="0" xfId="0" applyAlignment="1" applyFont="1">
      <alignment readingOrder="0" vertical="bottom"/>
    </xf>
    <xf borderId="0" fillId="2" fontId="3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0" fontId="7" numFmtId="0" xfId="0" applyAlignment="1" applyFont="1">
      <alignment readingOrder="0" vertical="bottom"/>
    </xf>
    <xf borderId="1" fillId="0" fontId="29" numFmtId="0" xfId="0" applyAlignment="1" applyBorder="1" applyFont="1">
      <alignment shrinkToFit="0" vertical="bottom" wrapText="0"/>
    </xf>
    <xf borderId="1" fillId="3" fontId="30" numFmtId="0" xfId="0" applyAlignment="1" applyBorder="1" applyFont="1">
      <alignment shrinkToFit="0" vertical="bottom" wrapText="0"/>
    </xf>
    <xf borderId="0" fillId="0" fontId="7" numFmtId="0" xfId="0" applyAlignment="1" applyFont="1">
      <alignment readingOrder="0" vertical="bottom"/>
    </xf>
    <xf borderId="1" fillId="2" fontId="3" numFmtId="0" xfId="0" applyAlignment="1" applyBorder="1" applyFont="1">
      <alignment readingOrder="0" shrinkToFit="0" vertical="bottom" wrapText="0"/>
    </xf>
    <xf borderId="0" fillId="3" fontId="31" numFmtId="0" xfId="0" applyAlignment="1" applyFont="1">
      <alignment vertical="bottom"/>
    </xf>
    <xf borderId="1" fillId="3" fontId="7" numFmtId="0" xfId="0" applyAlignment="1" applyBorder="1" applyFont="1">
      <alignment shrinkToFit="0" vertical="bottom" wrapText="0"/>
    </xf>
    <xf borderId="1" fillId="0" fontId="7" numFmtId="0" xfId="0" applyAlignment="1" applyBorder="1" applyFont="1">
      <alignment shrinkToFit="0" vertical="bottom" wrapText="0"/>
    </xf>
    <xf borderId="0" fillId="0" fontId="4" numFmtId="0" xfId="0" applyAlignment="1" applyFont="1">
      <alignment readingOrder="0" vertical="bottom"/>
    </xf>
    <xf borderId="1" fillId="0" fontId="32" numFmtId="0" xfId="0" applyAlignment="1" applyBorder="1" applyFont="1">
      <alignment vertical="bottom"/>
    </xf>
    <xf borderId="0" fillId="2" fontId="4" numFmtId="0" xfId="0" applyAlignment="1" applyFont="1">
      <alignment vertical="bottom"/>
    </xf>
    <xf borderId="0" fillId="2" fontId="3" numFmtId="0" xfId="0" applyAlignment="1" applyFont="1">
      <alignment vertical="top"/>
    </xf>
    <xf borderId="0" fillId="3" fontId="33" numFmtId="0" xfId="0" applyAlignment="1" applyFont="1">
      <alignment vertical="top"/>
    </xf>
    <xf borderId="0" fillId="3" fontId="7" numFmtId="0" xfId="0" applyAlignment="1" applyFont="1">
      <alignment vertical="top"/>
    </xf>
    <xf borderId="0" fillId="3" fontId="4" numFmtId="0" xfId="0" applyAlignment="1" applyFont="1">
      <alignment vertical="top"/>
    </xf>
    <xf borderId="0" fillId="3" fontId="3" numFmtId="0" xfId="0" applyAlignment="1" applyFont="1">
      <alignment horizontal="left" readingOrder="0"/>
    </xf>
    <xf borderId="0" fillId="3" fontId="3" numFmtId="0" xfId="0" applyAlignment="1" applyFont="1">
      <alignment readingOrder="0" vertical="bottom"/>
    </xf>
    <xf borderId="2" fillId="0" fontId="34" numFmtId="0" xfId="0" applyAlignment="1" applyBorder="1" applyFont="1">
      <alignment vertical="bottom"/>
    </xf>
    <xf borderId="0" fillId="2" fontId="3" numFmtId="0" xfId="0" applyAlignment="1" applyFont="1">
      <alignment readingOrder="0"/>
    </xf>
    <xf borderId="0" fillId="3" fontId="35" numFmtId="0" xfId="0" applyAlignment="1" applyFont="1">
      <alignment readingOrder="0"/>
    </xf>
    <xf borderId="0" fillId="0" fontId="36" numFmtId="0" xfId="0" applyFont="1"/>
    <xf borderId="0" fillId="3" fontId="7" numFmtId="0" xfId="0" applyAlignment="1" applyFont="1">
      <alignment readingOrder="0"/>
    </xf>
    <xf borderId="0" fillId="3" fontId="37" numFmtId="0" xfId="0" applyAlignment="1" applyFont="1">
      <alignment readingOrder="0"/>
    </xf>
    <xf borderId="0" fillId="3" fontId="10" numFmtId="0" xfId="0" applyAlignment="1" applyFont="1">
      <alignment readingOrder="0"/>
    </xf>
    <xf borderId="0" fillId="0" fontId="38" numFmtId="0" xfId="0" applyAlignment="1" applyFont="1">
      <alignment readingOrder="0" vertical="bottom"/>
    </xf>
    <xf borderId="2" fillId="3" fontId="39" numFmtId="0" xfId="0" applyAlignment="1" applyBorder="1" applyFont="1">
      <alignment vertical="bottom"/>
    </xf>
    <xf borderId="1" fillId="3" fontId="40" numFmtId="0" xfId="0" applyAlignment="1" applyBorder="1" applyFont="1">
      <alignment vertical="bottom"/>
    </xf>
    <xf borderId="0" fillId="3" fontId="5" numFmtId="0" xfId="0" applyAlignment="1" applyFont="1">
      <alignment vertical="bottom"/>
    </xf>
    <xf borderId="1" fillId="0" fontId="41" numFmtId="0" xfId="0" applyAlignment="1" applyBorder="1" applyFont="1">
      <alignment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0</xdr:colOff>
      <xdr:row>151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siloamhealth.org/" TargetMode="External"/><Relationship Id="rId10" Type="http://schemas.openxmlformats.org/officeDocument/2006/relationships/hyperlink" Target="https://faithmedical.org/services/patient-info/" TargetMode="External"/><Relationship Id="rId13" Type="http://schemas.openxmlformats.org/officeDocument/2006/relationships/hyperlink" Target="https://ofs.nashville.gov/family-safety-center/" TargetMode="External"/><Relationship Id="rId12" Type="http://schemas.openxmlformats.org/officeDocument/2006/relationships/hyperlink" Target="https://www.tnep.org/" TargetMode="External"/><Relationship Id="rId1" Type="http://schemas.openxmlformats.org/officeDocument/2006/relationships/hyperlink" Target="https://www.hopeclinicforwomen.org/" TargetMode="External"/><Relationship Id="rId2" Type="http://schemas.openxmlformats.org/officeDocument/2006/relationships/hyperlink" Target="https://nashvillewomens.clinic/" TargetMode="External"/><Relationship Id="rId3" Type="http://schemas.openxmlformats.org/officeDocument/2006/relationships/hyperlink" Target="https://www.nashville.gov/Health-Department/Clinic-Locations.aspx" TargetMode="External"/><Relationship Id="rId4" Type="http://schemas.openxmlformats.org/officeDocument/2006/relationships/hyperlink" Target="https://www.vanderbilthealth.com/comprehensivecare/" TargetMode="External"/><Relationship Id="rId9" Type="http://schemas.openxmlformats.org/officeDocument/2006/relationships/hyperlink" Target="http://mwchc.org/services/" TargetMode="External"/><Relationship Id="rId14" Type="http://schemas.openxmlformats.org/officeDocument/2006/relationships/drawing" Target="../drawings/drawing1.xml"/><Relationship Id="rId5" Type="http://schemas.openxmlformats.org/officeDocument/2006/relationships/hyperlink" Target="https://www.connectus.org/" TargetMode="External"/><Relationship Id="rId6" Type="http://schemas.openxmlformats.org/officeDocument/2006/relationships/hyperlink" Target="https://www.nashville.gov/Health-Department/Clinical-Health-Services/Sexual-Health-Center.aspx" TargetMode="External"/><Relationship Id="rId7" Type="http://schemas.openxmlformats.org/officeDocument/2006/relationships/hyperlink" Target="https://www.neighborhoodhealthtn.org/" TargetMode="External"/><Relationship Id="rId8" Type="http://schemas.openxmlformats.org/officeDocument/2006/relationships/hyperlink" Target="http://streetworks.org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mtsnc.org/" TargetMode="External"/><Relationship Id="rId2" Type="http://schemas.openxmlformats.org/officeDocument/2006/relationships/hyperlink" Target="https://dcin.dreamhosters.com/compassionate-assistance-program/" TargetMode="External"/><Relationship Id="rId3" Type="http://schemas.openxmlformats.org/officeDocument/2006/relationships/hyperlink" Target="https://www.bowwowbuddies.com/faqs/" TargetMode="External"/><Relationship Id="rId4" Type="http://schemas.openxmlformats.org/officeDocument/2006/relationships/hyperlink" Target="https://tripawds.org/2016/12/tripawds-asap/" TargetMode="External"/><Relationship Id="rId5" Type="http://schemas.openxmlformats.org/officeDocument/2006/relationships/hyperlink" Target="http://www.hua.org/emergency-medical-form" TargetMode="External"/><Relationship Id="rId6" Type="http://schemas.openxmlformats.org/officeDocument/2006/relationships/hyperlink" Target="https://starelief.org/aid-a-pet-grant-application/" TargetMode="External"/><Relationship Id="rId7" Type="http://schemas.openxmlformats.org/officeDocument/2006/relationships/hyperlink" Target="https://apbf.dog/resources/helping-hands/" TargetMode="External"/><Relationship Id="rId8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s://resources.bestfriends.org/article/how-teach-your-dog-speak-and-be-quiet" TargetMode="External"/><Relationship Id="rId42" Type="http://schemas.openxmlformats.org/officeDocument/2006/relationships/hyperlink" Target="https://digdefence.com/petco?gclid=Cj0KCQjw_ez2BRCyARIsAJfg-ktYoCkCRJqisioEoXSpxQxcinZTJQkup8TCt7xZDLniUW40E3-EpSYaAoxBEALw_wcB" TargetMode="External"/><Relationship Id="rId41" Type="http://schemas.openxmlformats.org/officeDocument/2006/relationships/hyperlink" Target="https://nashvillehumane.org/outdoor-pets" TargetMode="External"/><Relationship Id="rId44" Type="http://schemas.openxmlformats.org/officeDocument/2006/relationships/hyperlink" Target="https://resources.bestfriends.org/article/teaching-wait-door-dog-training-plan" TargetMode="External"/><Relationship Id="rId43" Type="http://schemas.openxmlformats.org/officeDocument/2006/relationships/hyperlink" Target="https://homeguides.sfgate.com/install-pvc-pipe-top-fence-keep-dogs-jumping-102289.html" TargetMode="External"/><Relationship Id="rId46" Type="http://schemas.openxmlformats.org/officeDocument/2006/relationships/hyperlink" Target="https://resources.bestfriends.org/article/managing-barrier-reactivity" TargetMode="External"/><Relationship Id="rId45" Type="http://schemas.openxmlformats.org/officeDocument/2006/relationships/hyperlink" Target="https://dogmantics.com/resource-guarding-protocol/" TargetMode="External"/><Relationship Id="rId80" Type="http://schemas.openxmlformats.org/officeDocument/2006/relationships/hyperlink" Target="https://911fosterpets.com/" TargetMode="External"/><Relationship Id="rId81" Type="http://schemas.openxmlformats.org/officeDocument/2006/relationships/drawing" Target="../drawings/drawing3.xml"/><Relationship Id="rId1" Type="http://schemas.openxmlformats.org/officeDocument/2006/relationships/hyperlink" Target="https://www.familypaws.com/coloring-pages/" TargetMode="External"/><Relationship Id="rId2" Type="http://schemas.openxmlformats.org/officeDocument/2006/relationships/hyperlink" Target="https://nashvillehumane.org/pet-allergies" TargetMode="External"/><Relationship Id="rId3" Type="http://schemas.openxmlformats.org/officeDocument/2006/relationships/hyperlink" Target="https://nashvillehumane.org/outdoor-pets" TargetMode="External"/><Relationship Id="rId4" Type="http://schemas.openxmlformats.org/officeDocument/2006/relationships/hyperlink" Target="https://www.americanhumane.org/app/uploads/2016/08/petmeetsbaby-2014.pdf" TargetMode="External"/><Relationship Id="rId9" Type="http://schemas.openxmlformats.org/officeDocument/2006/relationships/hyperlink" Target="https://pets.webmd.com/dogs/enriching-your-dogs-life" TargetMode="External"/><Relationship Id="rId48" Type="http://schemas.openxmlformats.org/officeDocument/2006/relationships/hyperlink" Target="https://www.whole-dog-journal.com/behavior/resource-guarding/how-to-manage-your-resource-guarding-dog/" TargetMode="External"/><Relationship Id="rId47" Type="http://schemas.openxmlformats.org/officeDocument/2006/relationships/hyperlink" Target="https://www.youtube.com/watch?v=6rpLAI3p6Ek" TargetMode="External"/><Relationship Id="rId49" Type="http://schemas.openxmlformats.org/officeDocument/2006/relationships/hyperlink" Target="https://todaysveterinarypractice.com/the-use-of-medications-in-canine-behavior-therapy/" TargetMode="External"/><Relationship Id="rId5" Type="http://schemas.openxmlformats.org/officeDocument/2006/relationships/hyperlink" Target="https://vcahospitals.com/know-your-pet/dog-behavior-problems-aggression-unfamiliar-dogs-diagnosis" TargetMode="External"/><Relationship Id="rId6" Type="http://schemas.openxmlformats.org/officeDocument/2006/relationships/hyperlink" Target="https://www.whole-dog-journal.com/care/socialization/the-pros-and-cons-of-dog-parks/" TargetMode="External"/><Relationship Id="rId7" Type="http://schemas.openxmlformats.org/officeDocument/2006/relationships/hyperlink" Target="https://resources.bestfriends.org/article/block-dogs-view-using-visual-barriers-dogs" TargetMode="External"/><Relationship Id="rId8" Type="http://schemas.openxmlformats.org/officeDocument/2006/relationships/hyperlink" Target="https://www.ddfl.org/resource/reducing-problem-behaviors-management/" TargetMode="External"/><Relationship Id="rId73" Type="http://schemas.openxmlformats.org/officeDocument/2006/relationships/hyperlink" Target="https://journeydogtraining.com/help-my-dog-attacks-other-dogs-at-gates/" TargetMode="External"/><Relationship Id="rId72" Type="http://schemas.openxmlformats.org/officeDocument/2006/relationships/hyperlink" Target="https://www.animallaw.info/" TargetMode="External"/><Relationship Id="rId31" Type="http://schemas.openxmlformats.org/officeDocument/2006/relationships/hyperlink" Target="https://resources.bestfriends.org/article/teaching-come-dog-training-plan" TargetMode="External"/><Relationship Id="rId75" Type="http://schemas.openxmlformats.org/officeDocument/2006/relationships/hyperlink" Target="http://ntbdogs.com/training" TargetMode="External"/><Relationship Id="rId30" Type="http://schemas.openxmlformats.org/officeDocument/2006/relationships/hyperlink" Target="https://resources.bestfriends.org/article/teaching-go-your-place-dog-training-plan" TargetMode="External"/><Relationship Id="rId74" Type="http://schemas.openxmlformats.org/officeDocument/2006/relationships/hyperlink" Target="https://www.whole-dog-journal.com/lifestyle/human-focus/professional-dog-training-titles/" TargetMode="External"/><Relationship Id="rId33" Type="http://schemas.openxmlformats.org/officeDocument/2006/relationships/hyperlink" Target="https://resources.bestfriends.org/article/teaching-go-your-place-dog-training-plan" TargetMode="External"/><Relationship Id="rId77" Type="http://schemas.openxmlformats.org/officeDocument/2006/relationships/hyperlink" Target="https://toppodcast.com/podcast_feeds/the-bitey-end-of-the-dog/" TargetMode="External"/><Relationship Id="rId32" Type="http://schemas.openxmlformats.org/officeDocument/2006/relationships/hyperlink" Target="https://www.youtube.com/watch?v=mfmmPG9upm4" TargetMode="External"/><Relationship Id="rId76" Type="http://schemas.openxmlformats.org/officeDocument/2006/relationships/hyperlink" Target="https://www.youtube.com/channel/UCwr0pmj0zTKsqaOe4aml8Dw" TargetMode="External"/><Relationship Id="rId35" Type="http://schemas.openxmlformats.org/officeDocument/2006/relationships/hyperlink" Target="https://www.akc.org/expert-advice/health/senior-dogs-might-benefit-indoor-potty-training/" TargetMode="External"/><Relationship Id="rId79" Type="http://schemas.openxmlformats.org/officeDocument/2006/relationships/hyperlink" Target="https://www.onegreenplanet.org/animalsandnature/facts-about-breed-specific-legislation-and-how-you-can-help-stop-it/" TargetMode="External"/><Relationship Id="rId34" Type="http://schemas.openxmlformats.org/officeDocument/2006/relationships/hyperlink" Target="https://www.ddfl.org/resource/re-housetraining-your-dog/" TargetMode="External"/><Relationship Id="rId78" Type="http://schemas.openxmlformats.org/officeDocument/2006/relationships/hyperlink" Target="https://www.airanimal.com/" TargetMode="External"/><Relationship Id="rId71" Type="http://schemas.openxmlformats.org/officeDocument/2006/relationships/hyperlink" Target="https://journeydogtraining.com/red-zone-dog/" TargetMode="External"/><Relationship Id="rId70" Type="http://schemas.openxmlformats.org/officeDocument/2006/relationships/hyperlink" Target="https://dogbitelaw.com/defending-your-dog" TargetMode="External"/><Relationship Id="rId37" Type="http://schemas.openxmlformats.org/officeDocument/2006/relationships/hyperlink" Target="https://journeydogtraining.com/dog-attacked-scared-of-other-dogs/" TargetMode="External"/><Relationship Id="rId36" Type="http://schemas.openxmlformats.org/officeDocument/2006/relationships/hyperlink" Target="https://www.ddfl.org/resource/stress-relief-for-dogs/" TargetMode="External"/><Relationship Id="rId39" Type="http://schemas.openxmlformats.org/officeDocument/2006/relationships/hyperlink" Target="https://www.quickanddirtytips.com/pets/dog-behavior/case-study-the-formerly-housetrained-dog" TargetMode="External"/><Relationship Id="rId38" Type="http://schemas.openxmlformats.org/officeDocument/2006/relationships/hyperlink" Target="https://journeydogtraining.com/karen-overalls-relaxation-protocol/" TargetMode="External"/><Relationship Id="rId62" Type="http://schemas.openxmlformats.org/officeDocument/2006/relationships/hyperlink" Target="https://www.nolo.com/legal-encyclopedia/free-books/dog-book/chapter12-2.html" TargetMode="External"/><Relationship Id="rId61" Type="http://schemas.openxmlformats.org/officeDocument/2006/relationships/hyperlink" Target="https://vcahospitals.com/know-your-pet/dog-behavior-problems-aggression-diagnosis-and-overview" TargetMode="External"/><Relationship Id="rId20" Type="http://schemas.openxmlformats.org/officeDocument/2006/relationships/hyperlink" Target="https://a.co/ar8l7GD" TargetMode="External"/><Relationship Id="rId64" Type="http://schemas.openxmlformats.org/officeDocument/2006/relationships/hyperlink" Target="https://aldf.org/article/what-to-do-if-your-dog-is-in-danger-of-being-declared-vicious-or-if-your-dog-has-bitten-someone-who-is-now-suing-you/" TargetMode="External"/><Relationship Id="rId63" Type="http://schemas.openxmlformats.org/officeDocument/2006/relationships/hyperlink" Target="https://www.animallaw.info/local/tn-nashville-title-8-animals" TargetMode="External"/><Relationship Id="rId22" Type="http://schemas.openxmlformats.org/officeDocument/2006/relationships/hyperlink" Target="https://a.co/9SdUmC9" TargetMode="External"/><Relationship Id="rId66" Type="http://schemas.openxmlformats.org/officeDocument/2006/relationships/hyperlink" Target="https://www.lapoflove.com/Locations-Tennessee-Nashville" TargetMode="External"/><Relationship Id="rId21" Type="http://schemas.openxmlformats.org/officeDocument/2006/relationships/hyperlink" Target="https://a.co/gY9NRG6" TargetMode="External"/><Relationship Id="rId65" Type="http://schemas.openxmlformats.org/officeDocument/2006/relationships/hyperlink" Target="https://aldf.org/article/the-legal-process-in-the-united-states-a-civil-case/" TargetMode="External"/><Relationship Id="rId24" Type="http://schemas.openxmlformats.org/officeDocument/2006/relationships/hyperlink" Target="https://www.ddfl.org/resource/teaching-your-dog-to-leave-it/" TargetMode="External"/><Relationship Id="rId68" Type="http://schemas.openxmlformats.org/officeDocument/2006/relationships/hyperlink" Target="https://aldf.org/article/how-to-find-an-attorney-to-help-you-with-your-animal-related-issues/" TargetMode="External"/><Relationship Id="rId23" Type="http://schemas.openxmlformats.org/officeDocument/2006/relationships/hyperlink" Target="https://www.ddfl.org/resource/teaching-your-dog-to-sit/" TargetMode="External"/><Relationship Id="rId67" Type="http://schemas.openxmlformats.org/officeDocument/2006/relationships/hyperlink" Target="https://vcahospitals.com/know-your-pet/dog-behavior-problems-aggression-children" TargetMode="External"/><Relationship Id="rId60" Type="http://schemas.openxmlformats.org/officeDocument/2006/relationships/hyperlink" Target="https://journeydogtraining.com/how-to-control-dogs-with-high-prey-drive/" TargetMode="External"/><Relationship Id="rId26" Type="http://schemas.openxmlformats.org/officeDocument/2006/relationships/hyperlink" Target="https://www.ddfl.org/resource/teaching-your-dog-to-settle/" TargetMode="External"/><Relationship Id="rId25" Type="http://schemas.openxmlformats.org/officeDocument/2006/relationships/hyperlink" Target="https://www.ddfl.org/resource/teaching-your-dog-to-watch-me/" TargetMode="External"/><Relationship Id="rId69" Type="http://schemas.openxmlformats.org/officeDocument/2006/relationships/hyperlink" Target="https://vcahospitals.com/know-your-pet/dog-behavior-problems-aggression-to-family-members-introduction-and-safety" TargetMode="External"/><Relationship Id="rId28" Type="http://schemas.openxmlformats.org/officeDocument/2006/relationships/hyperlink" Target="https://www.ddfl.org/resource/teaching-your-dog-to-stay/" TargetMode="External"/><Relationship Id="rId27" Type="http://schemas.openxmlformats.org/officeDocument/2006/relationships/hyperlink" Target="https://www.ddfl.org/resource/teaching-your-dog-to-drop-it/" TargetMode="External"/><Relationship Id="rId29" Type="http://schemas.openxmlformats.org/officeDocument/2006/relationships/hyperlink" Target="https://www.ddfl.org/resource/teaching-your-dog-to-down/" TargetMode="External"/><Relationship Id="rId51" Type="http://schemas.openxmlformats.org/officeDocument/2006/relationships/hyperlink" Target="https://www.facebook.com/groups/muzzleuppup/" TargetMode="External"/><Relationship Id="rId50" Type="http://schemas.openxmlformats.org/officeDocument/2006/relationships/hyperlink" Target="https://journeydogtraining.com/help-my-dog-attacks-other-dogs-at-gates/" TargetMode="External"/><Relationship Id="rId53" Type="http://schemas.openxmlformats.org/officeDocument/2006/relationships/hyperlink" Target="https://www.youtube.com/watch?v=Eo-L2qtD7MQ" TargetMode="External"/><Relationship Id="rId52" Type="http://schemas.openxmlformats.org/officeDocument/2006/relationships/hyperlink" Target="https://resources.bestfriends.org/article/teaching-dog-training-plan" TargetMode="External"/><Relationship Id="rId11" Type="http://schemas.openxmlformats.org/officeDocument/2006/relationships/hyperlink" Target="https://pets.webmd.com/desensitization-and-counterconditioning" TargetMode="External"/><Relationship Id="rId55" Type="http://schemas.openxmlformats.org/officeDocument/2006/relationships/hyperlink" Target="https://www.youtube.com/watch?v=EdraNF2hcgA&amp;t=85s" TargetMode="External"/><Relationship Id="rId10" Type="http://schemas.openxmlformats.org/officeDocument/2006/relationships/hyperlink" Target="https://www.thesprucepets.com/positive-reinforcement-dog-training-1118248" TargetMode="External"/><Relationship Id="rId54" Type="http://schemas.openxmlformats.org/officeDocument/2006/relationships/hyperlink" Target="http://www.vetstreet.com/our-pet-experts/harnessing-the-walk-choosing-the-right-harness-for-your-dog" TargetMode="External"/><Relationship Id="rId13" Type="http://schemas.openxmlformats.org/officeDocument/2006/relationships/hyperlink" Target="https://resources.bestfriends.org/article/teaching-name-recognition-dog-training-plan" TargetMode="External"/><Relationship Id="rId57" Type="http://schemas.openxmlformats.org/officeDocument/2006/relationships/hyperlink" Target="https://www.youtube.com/watch?v=tkX50nSO_BI" TargetMode="External"/><Relationship Id="rId12" Type="http://schemas.openxmlformats.org/officeDocument/2006/relationships/hyperlink" Target="https://germanshepherdcorner.com/mental-enrichment-ideas-for-dogs/" TargetMode="External"/><Relationship Id="rId56" Type="http://schemas.openxmlformats.org/officeDocument/2006/relationships/hyperlink" Target="https://www.clickertraining.com/bite-inhibition-training" TargetMode="External"/><Relationship Id="rId15" Type="http://schemas.openxmlformats.org/officeDocument/2006/relationships/hyperlink" Target="https://todaysveterinarypractice.com/the-use-of-medications-in-canine-behavior-therapy/" TargetMode="External"/><Relationship Id="rId59" Type="http://schemas.openxmlformats.org/officeDocument/2006/relationships/hyperlink" Target="https://www.whole-dog-journal.com/training/loose-leash-walking-training-your-dog-not-to-pull/" TargetMode="External"/><Relationship Id="rId14" Type="http://schemas.openxmlformats.org/officeDocument/2006/relationships/hyperlink" Target="https://resources.bestfriends.org/article/teaching-come-dog-training-plan" TargetMode="External"/><Relationship Id="rId58" Type="http://schemas.openxmlformats.org/officeDocument/2006/relationships/hyperlink" Target="https://www.youtube.com/watch?v=Deak42tmA2Y" TargetMode="External"/><Relationship Id="rId17" Type="http://schemas.openxmlformats.org/officeDocument/2006/relationships/hyperlink" Target="https://pethelpful.com/dogs/Dog-Training-How-to-Use-Differential-Reinforcement-of-Incompatible-Behaviors" TargetMode="External"/><Relationship Id="rId16" Type="http://schemas.openxmlformats.org/officeDocument/2006/relationships/hyperlink" Target="https://www.akc.org/expert-advice/training/reliable-recall-train-dogs-to-come-when-called/" TargetMode="External"/><Relationship Id="rId19" Type="http://schemas.openxmlformats.org/officeDocument/2006/relationships/hyperlink" Target="https://journeydogtraining.com/how-to-build-and-use-a-flirt-pole/" TargetMode="External"/><Relationship Id="rId18" Type="http://schemas.openxmlformats.org/officeDocument/2006/relationships/hyperlink" Target="https://www.clickertraining.com/node/309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3HO_43Qo2O0TbqIYBrLYI74Jbl2RQc8L/view?fbclid=IwAR307dCanDwAk7P2b-nhh7m3Xozw0MEpFOygs2OEz5_hQphTg0oFaxVfsBY" TargetMode="External"/><Relationship Id="rId2" Type="http://schemas.openxmlformats.org/officeDocument/2006/relationships/hyperlink" Target="https://www.vet.cornell.edu/departments-centers-and-institutes/cornell-feline-health-center/health-information/feline-health-topics/feline-behavior-problems-aggression" TargetMode="External"/><Relationship Id="rId3" Type="http://schemas.openxmlformats.org/officeDocument/2006/relationships/hyperlink" Target="https://www.dvm360.com/view/helping-owners-handle-aggressive-cats" TargetMode="External"/><Relationship Id="rId4" Type="http://schemas.openxmlformats.org/officeDocument/2006/relationships/hyperlink" Target="https://fearfreehappyhomes.com/5-tips-for-introducing-a-kitten-to-adult-cats/" TargetMode="External"/><Relationship Id="rId9" Type="http://schemas.openxmlformats.org/officeDocument/2006/relationships/hyperlink" Target="https://catvets.com/public/PDFs/PracticeGuidelines/FelineBehaviorGLS.pdf" TargetMode="External"/><Relationship Id="rId5" Type="http://schemas.openxmlformats.org/officeDocument/2006/relationships/hyperlink" Target="https://nashvillehumane.org/pet-allergies" TargetMode="External"/><Relationship Id="rId6" Type="http://schemas.openxmlformats.org/officeDocument/2006/relationships/hyperlink" Target="https://resources.bestfriends.org/article/cat-scared-sudden-movement" TargetMode="External"/><Relationship Id="rId7" Type="http://schemas.openxmlformats.org/officeDocument/2006/relationships/hyperlink" Target="https://www.ddfl.org/resource/stress-relief-for-your-cat/" TargetMode="External"/><Relationship Id="rId8" Type="http://schemas.openxmlformats.org/officeDocument/2006/relationships/hyperlink" Target="https://resources.bestfriends.org/article/cat-scared-noise-how-help-fearful-cats" TargetMode="External"/><Relationship Id="rId31" Type="http://schemas.openxmlformats.org/officeDocument/2006/relationships/hyperlink" Target="https://nashvillehumane.org/outdoor-pets" TargetMode="External"/><Relationship Id="rId30" Type="http://schemas.openxmlformats.org/officeDocument/2006/relationships/hyperlink" Target="https://catingtonpost.com/escape-artists-5-tips-to-stop-door-dashing-cats/" TargetMode="External"/><Relationship Id="rId33" Type="http://schemas.openxmlformats.org/officeDocument/2006/relationships/hyperlink" Target="https://www.youtube.com/watch?v=X2Ug-sE03b4" TargetMode="External"/><Relationship Id="rId32" Type="http://schemas.openxmlformats.org/officeDocument/2006/relationships/hyperlink" Target="https://www.youtube.com/watch?v=zr0jVNeLavs" TargetMode="External"/><Relationship Id="rId35" Type="http://schemas.openxmlformats.org/officeDocument/2006/relationships/hyperlink" Target="https://www.youtube.com/watch?v=aKaGdy5-rPs" TargetMode="External"/><Relationship Id="rId34" Type="http://schemas.openxmlformats.org/officeDocument/2006/relationships/hyperlink" Target="https://www.youtube.com/watch?v=FYhS-rIEC3U" TargetMode="External"/><Relationship Id="rId37" Type="http://schemas.openxmlformats.org/officeDocument/2006/relationships/drawing" Target="../drawings/drawing4.xml"/><Relationship Id="rId36" Type="http://schemas.openxmlformats.org/officeDocument/2006/relationships/hyperlink" Target="https://www.airanimal.com/" TargetMode="External"/><Relationship Id="rId20" Type="http://schemas.openxmlformats.org/officeDocument/2006/relationships/hyperlink" Target="https://www.ddfl.org/resource/teaching-your-cat-to-walk-on-a-leash/" TargetMode="External"/><Relationship Id="rId22" Type="http://schemas.openxmlformats.org/officeDocument/2006/relationships/hyperlink" Target="https://www.ddfl.org/resource/teaching-your-cat-to-wear-a-harness/" TargetMode="External"/><Relationship Id="rId21" Type="http://schemas.openxmlformats.org/officeDocument/2006/relationships/hyperlink" Target="https://www.ddfl.org/resource/teaching-your-cat-to-down/" TargetMode="External"/><Relationship Id="rId24" Type="http://schemas.openxmlformats.org/officeDocument/2006/relationships/hyperlink" Target="https://a.co/dpb9Msb" TargetMode="External"/><Relationship Id="rId23" Type="http://schemas.openxmlformats.org/officeDocument/2006/relationships/hyperlink" Target="https://www.ddfl.org/resource/teaching-your-cat-to-high-five/" TargetMode="External"/><Relationship Id="rId26" Type="http://schemas.openxmlformats.org/officeDocument/2006/relationships/hyperlink" Target="https://resources.bestfriends.org/article/cattery-and-catio-info-outdoor-cat-enclosures" TargetMode="External"/><Relationship Id="rId25" Type="http://schemas.openxmlformats.org/officeDocument/2006/relationships/hyperlink" Target="https://www.ddfl.org/wp-content/uploads/2016/02/catfence_V2.pdf" TargetMode="External"/><Relationship Id="rId28" Type="http://schemas.openxmlformats.org/officeDocument/2006/relationships/hyperlink" Target="https://www.vet.cornell.edu/departments-centers-and-institutes/cornell-feline-health-center/health-information/feline-health-topics/feline-behavior-problems-destructive-behavior" TargetMode="External"/><Relationship Id="rId27" Type="http://schemas.openxmlformats.org/officeDocument/2006/relationships/hyperlink" Target="https://www.vet.cornell.edu/departments-centers-and-institutes/cornell-feline-health-center/health-information/feline-health-topics/cognitive-dysfunction" TargetMode="External"/><Relationship Id="rId29" Type="http://schemas.openxmlformats.org/officeDocument/2006/relationships/hyperlink" Target="https://catvets.com/public/PDFs/PracticeGuidelines/FelineBehaviorGLS.pdf" TargetMode="External"/><Relationship Id="rId11" Type="http://schemas.openxmlformats.org/officeDocument/2006/relationships/hyperlink" Target="https://www.ddfl.org/resource/teaching-your-cat-to-sit-pretty/" TargetMode="External"/><Relationship Id="rId10" Type="http://schemas.openxmlformats.org/officeDocument/2006/relationships/hyperlink" Target="https://www.ddfl.org/resource/teaching-your-cat-to-sit/" TargetMode="External"/><Relationship Id="rId13" Type="http://schemas.openxmlformats.org/officeDocument/2006/relationships/hyperlink" Target="https://www.ddfl.org/resource/teaching-your-cat-to-roll-over/" TargetMode="External"/><Relationship Id="rId12" Type="http://schemas.openxmlformats.org/officeDocument/2006/relationships/hyperlink" Target="https://www.ddfl.org/resource/cat-clicker-training/" TargetMode="External"/><Relationship Id="rId15" Type="http://schemas.openxmlformats.org/officeDocument/2006/relationships/hyperlink" Target="https://www.youtube.com/watch?v=pEGKQwV5xQ0" TargetMode="External"/><Relationship Id="rId14" Type="http://schemas.openxmlformats.org/officeDocument/2006/relationships/hyperlink" Target="https://www.aspca.org/pet-care/cat-care/feline-diy-enrichment" TargetMode="External"/><Relationship Id="rId17" Type="http://schemas.openxmlformats.org/officeDocument/2006/relationships/hyperlink" Target="https://www.ddfl.org/resource/cat-toys-and-how-to-use-them/" TargetMode="External"/><Relationship Id="rId16" Type="http://schemas.openxmlformats.org/officeDocument/2006/relationships/hyperlink" Target="https://www.ddfl.org/resource/teaching-your-cat-to-paws/" TargetMode="External"/><Relationship Id="rId19" Type="http://schemas.openxmlformats.org/officeDocument/2006/relationships/hyperlink" Target="https://www.ddfl.org/resource/teaching-your-cat-to-target/" TargetMode="External"/><Relationship Id="rId18" Type="http://schemas.openxmlformats.org/officeDocument/2006/relationships/hyperlink" Target="https://www.ddfl.org/resource/challenging-your-cat-to-improve-performance-and-reliabili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0.57"/>
    <col customWidth="1" min="2" max="2" width="42.0"/>
    <col customWidth="1" min="3" max="3" width="47.0"/>
    <col customWidth="1" min="4" max="4" width="33.0"/>
  </cols>
  <sheetData>
    <row r="1">
      <c r="A1" s="1" t="str">
        <f>HYPERLINK("https://redrover.org/relief/dv-safe-escape-grants/","IF YOU NEED PET BOARDING BECAUSE YOU ARE FLEEING DOMESTIC VIOLENCE ")</f>
        <v>IF YOU NEED PET BOARDING BECAUSE YOU ARE FLEEING DOMESTIC VIOLENCE </v>
      </c>
      <c r="B1" s="2"/>
      <c r="C1" s="3"/>
      <c r="D1" s="4"/>
    </row>
    <row r="2">
      <c r="A2" s="1" t="str">
        <f>HYPERLINK("https://redrover.org/relief/emergency-boarding-grants/","OR BEING HOSPITALIZED DUE TO COVID-19 RED ROVER CAN HELP! ")</f>
        <v>OR BEING HOSPITALIZED DUE TO COVID-19 RED ROVER CAN HELP! </v>
      </c>
      <c r="B2" s="2"/>
      <c r="C2" s="3"/>
      <c r="D2" s="4"/>
    </row>
    <row r="3">
      <c r="A3" s="3" t="s">
        <v>0</v>
      </c>
      <c r="B3" s="5"/>
      <c r="C3" s="3" t="s">
        <v>1</v>
      </c>
      <c r="D3" s="4"/>
    </row>
    <row r="4">
      <c r="A4" s="6" t="str">
        <f>HYPERLINK("https://www.nashville.gov/Social-Services.aspx","Social Services  ")</f>
        <v>Social Services  </v>
      </c>
      <c r="B4" s="7" t="s">
        <v>2</v>
      </c>
      <c r="C4" s="6" t="str">
        <f>HYPERLINK("www.tnjustice.org","TN Justice Center")</f>
        <v>TN Justice Center</v>
      </c>
      <c r="D4" s="7" t="s">
        <v>3</v>
      </c>
    </row>
    <row r="5">
      <c r="A5" s="6" t="str">
        <f>HYPERLINK("www.ssa.gov/disabilityssi","Social Security Disability Benefits")</f>
        <v>Social Security Disability Benefits</v>
      </c>
      <c r="B5" s="7" t="s">
        <v>4</v>
      </c>
      <c r="C5" s="6" t="str">
        <f>HYPERLINK("www.disabilityrightstn.org","Disability Law &amp; Advocacy Center of Tennessee")</f>
        <v>Disability Law &amp; Advocacy Center of Tennessee</v>
      </c>
      <c r="D5" s="7" t="s">
        <v>5</v>
      </c>
    </row>
    <row r="6">
      <c r="A6" s="8" t="str">
        <f>HYPERLINK("https://opentablenashville.org/","Open Table Nashville")</f>
        <v>Open Table Nashville</v>
      </c>
      <c r="B6" s="9" t="s">
        <v>6</v>
      </c>
      <c r="C6" s="6" t="str">
        <f>HYPERLINK("www.las.org","Legal Aid Society of Middle Tennessee")</f>
        <v>Legal Aid Society of Middle Tennessee</v>
      </c>
      <c r="D6" s="7"/>
    </row>
    <row r="7">
      <c r="A7" s="10" t="str">
        <f>HYPERLINK(" www.parkcenternashville.org/programs/homeless-outreach","Park Center's SOAR Program")</f>
        <v>Park Center's SOAR Program</v>
      </c>
      <c r="B7" s="9" t="s">
        <v>7</v>
      </c>
      <c r="C7" s="11"/>
      <c r="D7" s="11"/>
    </row>
    <row r="8">
      <c r="A8" s="11"/>
      <c r="B8" s="11"/>
      <c r="C8" s="12" t="s">
        <v>8</v>
      </c>
      <c r="D8" s="7"/>
    </row>
    <row r="9">
      <c r="A9" s="13" t="s">
        <v>9</v>
      </c>
      <c r="B9" s="4"/>
      <c r="C9" s="13" t="s">
        <v>8</v>
      </c>
      <c r="D9" s="4"/>
    </row>
    <row r="10">
      <c r="A10" s="6" t="str">
        <f>HYPERLINK("cctenn.org","Catholic Charities North Nashville")</f>
        <v>Catholic Charities North Nashville</v>
      </c>
      <c r="B10" s="7" t="s">
        <v>10</v>
      </c>
      <c r="C10" s="6" t="str">
        <f>HYPERLINK("www.needlink.org","NeedLink")</f>
        <v>NeedLink</v>
      </c>
      <c r="D10" s="7" t="s">
        <v>11</v>
      </c>
    </row>
    <row r="11">
      <c r="A11" s="6" t="str">
        <f>HYPERLINK("https://www.ladiesofcharitynashville.org/","Ladies of Charity ")</f>
        <v>Ladies of Charity </v>
      </c>
      <c r="B11" s="7" t="s">
        <v>12</v>
      </c>
      <c r="C11" s="6" t="str">
        <f>HYPERLINK("www.rooftopnashville.org","Rooftop")</f>
        <v>Rooftop</v>
      </c>
      <c r="D11" s="7" t="s">
        <v>13</v>
      </c>
    </row>
    <row r="12">
      <c r="A12" s="6" t="str">
        <f>HYPERLINK("www.nashville.gov/Metro-Action-Commission","Metro Action Commission")</f>
        <v>Metro Action Commission</v>
      </c>
      <c r="B12" s="7" t="s">
        <v>14</v>
      </c>
      <c r="C12" s="6" t="str">
        <f>HYPERLINK("https://www.salvationarmynashville.org/","Salvation Army")</f>
        <v>Salvation Army</v>
      </c>
      <c r="D12" s="7" t="s">
        <v>15</v>
      </c>
    </row>
    <row r="13">
      <c r="A13" s="11"/>
      <c r="B13" s="11"/>
      <c r="C13" s="11"/>
      <c r="D13" s="11"/>
    </row>
    <row r="14">
      <c r="A14" s="11"/>
      <c r="B14" s="11"/>
      <c r="C14" s="11"/>
      <c r="D14" s="11"/>
    </row>
    <row r="15">
      <c r="A15" s="13" t="s">
        <v>16</v>
      </c>
      <c r="B15" s="4"/>
      <c r="C15" s="13" t="s">
        <v>17</v>
      </c>
      <c r="D15" s="4"/>
    </row>
    <row r="16">
      <c r="A16" s="6" t="str">
        <f>HYPERLINK("https://www.nashville.gov/Health-Department/Clinic-Locations/East-Public-Health-Center","East Nashville Public Health Center")</f>
        <v>East Nashville Public Health Center</v>
      </c>
      <c r="B16" s="7" t="s">
        <v>18</v>
      </c>
      <c r="C16" s="6" t="str">
        <f>HYPERLINK("www.cityroadchapel.org","City Road Chapel United Methodist Church")</f>
        <v>City Road Chapel United Methodist Church</v>
      </c>
      <c r="D16" s="7" t="s">
        <v>19</v>
      </c>
    </row>
    <row r="17">
      <c r="A17" s="6" t="str">
        <f>HYPERLINK("https://www.nashville.gov/Health-Department/Clinic-Locations/Woodbine-Public-Health-Center","Woodbine Public Health Center")</f>
        <v>Woodbine Public Health Center</v>
      </c>
      <c r="B17" s="7" t="s">
        <v>20</v>
      </c>
      <c r="C17" s="14" t="s">
        <v>21</v>
      </c>
      <c r="D17" s="7" t="s">
        <v>22</v>
      </c>
    </row>
    <row r="18">
      <c r="A18" s="6" t="str">
        <f>HYPERLINK("www.secondharvestmidtn.org","Second Harvest: Kids Cafe")</f>
        <v>Second Harvest: Kids Cafe</v>
      </c>
      <c r="B18" s="7" t="s">
        <v>23</v>
      </c>
      <c r="C18" s="6" t="str">
        <f>HYPERLINK("www.secondharvestmidtn.org/get-help","Second Harvest Emergency Food Box Program")</f>
        <v>Second Harvest Emergency Food Box Program</v>
      </c>
      <c r="D18" s="7" t="s">
        <v>23</v>
      </c>
    </row>
    <row r="19">
      <c r="A19" s="6" t="str">
        <f>HYPERLINK("https://www.nashville.gov/Health-Department/Clinic-Locations/South-Nashville-WIC-Nutrition-Center","South Nashville WIC Nutrition Center")</f>
        <v>South Nashville WIC Nutrition Center</v>
      </c>
      <c r="B19" s="7" t="s">
        <v>24</v>
      </c>
      <c r="C19" s="6" t="str">
        <f>HYPERLINK("www.secondharvestmidtn.org","Second Harvest: SNAP Outreach")</f>
        <v>Second Harvest: SNAP Outreach</v>
      </c>
      <c r="D19" s="7" t="s">
        <v>23</v>
      </c>
    </row>
    <row r="20">
      <c r="A20" s="6" t="str">
        <f>HYPERLINK("https://www.nashville.gov/Health-Department/Clinical-Health-Services/WIC/WIC-Mobile-Program","WIC Mobile Program")</f>
        <v>WIC Mobile Program</v>
      </c>
      <c r="B20" s="7" t="s">
        <v>25</v>
      </c>
      <c r="C20" s="6" t="str">
        <f>HYPERLINK("https://www.tn.gov/humanservices/for-families/supplemental-nutrition-assistance-program-snap","Davidson County Department of Human Services")</f>
        <v>Davidson County Department of Human Services</v>
      </c>
      <c r="D20" s="7" t="s">
        <v>26</v>
      </c>
    </row>
    <row r="21">
      <c r="A21" s="6" t="str">
        <f>HYPERLINK("http://www.tn.gov/wic","WIC Program")</f>
        <v>WIC Program</v>
      </c>
      <c r="B21" s="7" t="s">
        <v>27</v>
      </c>
      <c r="C21" s="6" t="str">
        <f>HYPERLINK("https://www.edgehillneighborhoodpartnership.org/programs/the-free-store","The Free Store")</f>
        <v>The Free Store</v>
      </c>
      <c r="D21" s="15"/>
    </row>
    <row r="22">
      <c r="A22" s="15"/>
      <c r="B22" s="15"/>
      <c r="C22" s="15"/>
      <c r="D22" s="15"/>
    </row>
    <row r="23">
      <c r="A23" s="13" t="s">
        <v>28</v>
      </c>
      <c r="B23" s="4"/>
      <c r="C23" s="4"/>
      <c r="D23" s="4"/>
    </row>
    <row r="24">
      <c r="A24" s="16" t="str">
        <f>HYPERLINK("http://nashvillehumane.org","Nashville Humane")</f>
        <v>Nashville Humane</v>
      </c>
      <c r="B24" s="16" t="str">
        <f>HYPERLINK("https://www.4pawspantry.org/how-to-get-help/","4 Paws Pantry")</f>
        <v>4 Paws Pantry</v>
      </c>
      <c r="C24" s="6" t="str">
        <f>HYPERLINK("https://www.young-williams.org/","Young-Williams Animal Center")</f>
        <v>Young-Williams Animal Center</v>
      </c>
      <c r="D24" s="17"/>
    </row>
    <row r="25">
      <c r="A25" s="16" t="str">
        <f>HYPERLINK("https://www.petcommunitycenter.org/","Pet Community Center")</f>
        <v>Pet Community Center</v>
      </c>
      <c r="B25" s="16" t="str">
        <f>HYPERLINK("https://www.newleashonline.org/paw-pantry","New Leash on Life")</f>
        <v>New Leash on Life</v>
      </c>
      <c r="C25" s="16" t="str">
        <f>HYPERLINK("https://www.fayettefcar.com/","Fayette Co. Animal Rescue")</f>
        <v>Fayette Co. Animal Rescue</v>
      </c>
      <c r="D25" s="15"/>
    </row>
    <row r="26">
      <c r="A26" s="16" t="str">
        <f>HYPERLINK("https://www.nashville.gov/Health-Department/Animal-Care-and-Control.aspx","Metro Animal Care and Control")</f>
        <v>Metro Animal Care and Control</v>
      </c>
      <c r="B26" s="16" t="str">
        <f>HYPERLINK("https://www.safpaw.org/what-we-do","SAFPAW")</f>
        <v>SAFPAW</v>
      </c>
      <c r="C26" s="14"/>
      <c r="D26" s="17"/>
    </row>
    <row r="27">
      <c r="A27" s="15"/>
      <c r="B27" s="15"/>
      <c r="C27" s="15"/>
      <c r="D27" s="15"/>
    </row>
    <row r="28">
      <c r="A28" s="13" t="s">
        <v>29</v>
      </c>
      <c r="B28" s="4"/>
      <c r="C28" s="4"/>
      <c r="D28" s="13" t="s">
        <v>30</v>
      </c>
    </row>
    <row r="29">
      <c r="A29" s="6" t="str">
        <f>HYPERLINK("www.acsgreaternashville.com","Adventist Community Services")</f>
        <v>Adventist Community Services</v>
      </c>
      <c r="B29" s="18" t="str">
        <f>HYPERLINK("www.mckendreetoday.com","McKendree United Methodist Church")</f>
        <v>McKendree United Methodist Church</v>
      </c>
      <c r="C29" s="15"/>
      <c r="D29" s="6" t="str">
        <f>HYPERLINK("www.showerup.org","Shower UP")</f>
        <v>Shower UP</v>
      </c>
    </row>
    <row r="30">
      <c r="A30" s="6" t="str">
        <f>HYPERLINK("www.bridgeministry.org","Bridge Ministry")</f>
        <v>Bridge Ministry</v>
      </c>
      <c r="B30" s="18" t="str">
        <f>HYPERLINK("www.templechurch.org","Samaritan Ministries of Temple Baptist Church")</f>
        <v>Samaritan Ministries of Temple Baptist Church</v>
      </c>
      <c r="C30" s="15"/>
      <c r="D30" s="14" t="s">
        <v>8</v>
      </c>
    </row>
    <row r="31">
      <c r="A31" s="14"/>
      <c r="B31" s="15"/>
      <c r="C31" s="15"/>
      <c r="D31" s="15"/>
    </row>
    <row r="32">
      <c r="A32" s="13" t="s">
        <v>31</v>
      </c>
      <c r="B32" s="4"/>
      <c r="C32" s="13" t="s">
        <v>32</v>
      </c>
      <c r="D32" s="4"/>
    </row>
    <row r="33">
      <c r="A33" s="6" t="str">
        <f>HYPERLINK("www.bass.mnps.org","WA Bass Learning Center")</f>
        <v>WA Bass Learning Center</v>
      </c>
      <c r="B33" s="15" t="s">
        <v>33</v>
      </c>
      <c r="C33" s="6" t="str">
        <f>HYPERLINK("www.apprisen.com","Apprisen")</f>
        <v>Apprisen</v>
      </c>
      <c r="D33" s="15" t="s">
        <v>34</v>
      </c>
    </row>
    <row r="34">
      <c r="A34" s="6" t="str">
        <f>HYPERLINK("www.workforceessentials.com","Workforce Essentials")</f>
        <v>Workforce Essentials</v>
      </c>
      <c r="B34" s="15" t="s">
        <v>35</v>
      </c>
      <c r="C34" s="6" t="str">
        <f>HYPERLINK("fec.nashville.gov","Nashville Financial Empowerment Center")</f>
        <v>Nashville Financial Empowerment Center</v>
      </c>
      <c r="D34" s="15" t="s">
        <v>36</v>
      </c>
    </row>
    <row r="35">
      <c r="A35" s="6" t="str">
        <f>HYPERLINK("www.ywcanashville.com","YWCA of Nashville")</f>
        <v>YWCA of Nashville</v>
      </c>
      <c r="B35" s="15" t="s">
        <v>37</v>
      </c>
      <c r="C35" s="6" t="str">
        <f>HYPERLINK("www.salarmy-nashville.org","Quality of Life Learning Centers: The Salvation Army")</f>
        <v>Quality of Life Learning Centers: The Salvation Army</v>
      </c>
      <c r="D35" s="15" t="s">
        <v>15</v>
      </c>
    </row>
    <row r="36">
      <c r="A36" s="6" t="str">
        <f>HYPERLINK("www.tn.gov/workforce/jobs-and-education/ae.html","Division of Adult Education, Nashville")</f>
        <v>Division of Adult Education, Nashville</v>
      </c>
      <c r="B36" s="15" t="s">
        <v>38</v>
      </c>
      <c r="C36" s="15"/>
      <c r="D36" s="15"/>
    </row>
    <row r="37">
      <c r="A37" s="15"/>
      <c r="B37" s="15"/>
      <c r="C37" s="15"/>
      <c r="D37" s="15"/>
    </row>
    <row r="38">
      <c r="A38" s="13" t="s">
        <v>39</v>
      </c>
      <c r="B38" s="4"/>
      <c r="C38" s="13" t="s">
        <v>40</v>
      </c>
      <c r="D38" s="4"/>
    </row>
    <row r="39">
      <c r="A39" s="6" t="str">
        <f>HYPERLINK("www.mchra.com/youth-can","YouthCAN")</f>
        <v>YouthCAN</v>
      </c>
      <c r="B39" s="15" t="s">
        <v>41</v>
      </c>
      <c r="C39" s="6" t="str">
        <f>HYPERLINK("www.ncoa.org","National Council on Aging")</f>
        <v>National Council on Aging</v>
      </c>
      <c r="D39" s="15" t="s">
        <v>42</v>
      </c>
    </row>
    <row r="40">
      <c r="A40" s="6" t="str">
        <f>HYPERLINK("www.bgcmt.org","Boys &amp; Girls Clubs of Middle Tennessee, North Campus")</f>
        <v>Boys &amp; Girls Clubs of Middle Tennessee, North Campus</v>
      </c>
      <c r="B40" s="15" t="s">
        <v>43</v>
      </c>
      <c r="C40" s="6" t="str">
        <f>HYPERLINK("www.salarmy-nashville.org","The Salvation Army: Quality of Life Learning Centers")</f>
        <v>The Salvation Army: Quality of Life Learning Centers</v>
      </c>
      <c r="D40" s="15" t="s">
        <v>15</v>
      </c>
    </row>
    <row r="41">
      <c r="A41" s="6" t="str">
        <f>HYPERLINK("www.bgcmt.org","Boys &amp; Girls Clubs of Middle Tennessee, West Campus")</f>
        <v>Boys &amp; Girls Clubs of Middle Tennessee, West Campus</v>
      </c>
      <c r="B41" s="15" t="s">
        <v>44</v>
      </c>
      <c r="C41" s="6" t="str">
        <f>HYPERLINK("www.ULMT.org","Urban League of Middle Tennessee")</f>
        <v>Urban League of Middle Tennessee</v>
      </c>
      <c r="D41" s="15" t="s">
        <v>45</v>
      </c>
    </row>
    <row r="42">
      <c r="A42" s="6" t="str">
        <f>HYPERLINK("www.homeworkhotline.info","Homework Hotline")</f>
        <v>Homework Hotline</v>
      </c>
      <c r="B42" s="15" t="s">
        <v>46</v>
      </c>
      <c r="C42" s="6" t="str">
        <f>HYPERLINK("www.latinoachievers.blogspot.com","YMCA Latino Achievers")</f>
        <v>YMCA Latino Achievers</v>
      </c>
      <c r="D42" s="15" t="s">
        <v>47</v>
      </c>
    </row>
    <row r="43">
      <c r="A43" s="6" t="str">
        <f>HYPERLINK("http://www.marthaobryan.org","Martha O’Bryan Center")</f>
        <v>Martha O’Bryan Center</v>
      </c>
      <c r="B43" s="15" t="s">
        <v>48</v>
      </c>
      <c r="C43" s="15"/>
      <c r="D43" s="15"/>
    </row>
    <row r="44">
      <c r="A44" s="14" t="s">
        <v>49</v>
      </c>
      <c r="B44" s="15" t="s">
        <v>50</v>
      </c>
      <c r="C44" s="15"/>
      <c r="D44" s="15"/>
    </row>
    <row r="45">
      <c r="A45" s="6" t="str">
        <f>HYPERLINK("www.yllc.org","Youth Life Learning Centers")</f>
        <v>Youth Life Learning Centers</v>
      </c>
      <c r="B45" s="15" t="s">
        <v>51</v>
      </c>
      <c r="C45" s="15"/>
      <c r="D45" s="15"/>
    </row>
    <row r="46">
      <c r="A46" s="6" t="str">
        <f>HYPERLINK("http://www.youthencouragement.org","Youth Encouragement Services")</f>
        <v>Youth Encouragement Services</v>
      </c>
      <c r="B46" s="15" t="s">
        <v>52</v>
      </c>
      <c r="C46" s="15"/>
      <c r="D46" s="15"/>
    </row>
    <row r="47">
      <c r="A47" s="15"/>
      <c r="B47" s="15"/>
      <c r="C47" s="15"/>
      <c r="D47" s="15"/>
    </row>
    <row r="48">
      <c r="A48" s="13" t="s">
        <v>53</v>
      </c>
      <c r="B48" s="4"/>
      <c r="C48" s="13" t="s">
        <v>8</v>
      </c>
      <c r="D48" s="13" t="s">
        <v>8</v>
      </c>
    </row>
    <row r="49">
      <c r="A49" s="6" t="str">
        <f>HYPERLINK("http://www.nashvilleliteracy.org","Nashville Adult Literacy Council")</f>
        <v>Nashville Adult Literacy Council</v>
      </c>
      <c r="B49" s="7" t="s">
        <v>54</v>
      </c>
      <c r="C49" s="6" t="str">
        <f>HYPERLINK("http://www.evpinstitute.com","The Institute for Educational Volunteer Programs")</f>
        <v>The Institute for Educational Volunteer Programs</v>
      </c>
      <c r="D49" s="7" t="s">
        <v>55</v>
      </c>
    </row>
    <row r="50">
      <c r="A50" s="6" t="str">
        <f>HYPERLINK("brookhollow.net/international","Brook Hollow Baptist Church")</f>
        <v>Brook Hollow Baptist Church</v>
      </c>
      <c r="B50" s="7" t="s">
        <v>56</v>
      </c>
      <c r="C50" s="14" t="s">
        <v>57</v>
      </c>
      <c r="D50" s="7" t="s">
        <v>15</v>
      </c>
    </row>
    <row r="51">
      <c r="A51" s="15"/>
      <c r="B51" s="15"/>
      <c r="C51" s="15"/>
      <c r="D51" s="15"/>
    </row>
    <row r="52">
      <c r="A52" s="13" t="s">
        <v>58</v>
      </c>
      <c r="B52" s="4"/>
      <c r="C52" s="13" t="s">
        <v>8</v>
      </c>
      <c r="D52" s="4"/>
    </row>
    <row r="53">
      <c r="A53" s="6" t="str">
        <f>HYPERLINK("www.beginanew.org","Begin Anew")</f>
        <v>Begin Anew</v>
      </c>
      <c r="B53" s="15" t="s">
        <v>59</v>
      </c>
      <c r="C53" s="6" t="str">
        <f>HYPERLINK("www.oicnashville.org","Nashville Opportunities Industrialization Center")</f>
        <v>Nashville Opportunities Industrialization Center</v>
      </c>
      <c r="D53" s="15" t="s">
        <v>60</v>
      </c>
    </row>
    <row r="54">
      <c r="A54" s="6" t="str">
        <f>HYPERLINK("library.nashville.org/locations/main-library","Nashville Public Library Job Search Assistance ")</f>
        <v>Nashville Public Library Job Search Assistance </v>
      </c>
      <c r="B54" s="15" t="s">
        <v>61</v>
      </c>
      <c r="C54" s="6" t="str">
        <f>HYPERLINK("www.nashvillerescuemission.org","Nashville Rescue Mission Men's Campus")</f>
        <v>Nashville Rescue Mission Men's Campus</v>
      </c>
      <c r="D54" s="7" t="s">
        <v>62</v>
      </c>
    </row>
    <row r="55">
      <c r="A55" s="6" t="str">
        <f>HYPERLINK("www.tn.gov/humanservices/ds/vocational-rehabilitation","Vocational Rehabilitation Services")</f>
        <v>Vocational Rehabilitation Services</v>
      </c>
      <c r="B55" s="15" t="s">
        <v>63</v>
      </c>
      <c r="C55" s="6" t="str">
        <f>HYPERLINK("www.nashvillerescuemission.org","Nashville Rescue Mission Women and Family Campus")</f>
        <v>Nashville Rescue Mission Women and Family Campus</v>
      </c>
      <c r="D55" s="7" t="s">
        <v>64</v>
      </c>
    </row>
    <row r="56">
      <c r="A56" s="6" t="str">
        <f>HYPERLINK("www.goodwillcareersolutions.org","Goodwill Industries of Middle Tennessee, Inc.")</f>
        <v>Goodwill Industries of Middle Tennessee, Inc.</v>
      </c>
      <c r="B56" s="15" t="s">
        <v>65</v>
      </c>
      <c r="C56" s="6" t="str">
        <f>HYPERLINK("www.newhorizonscorp.com","New Horizons")</f>
        <v>New Horizons</v>
      </c>
      <c r="D56" s="15" t="s">
        <v>66</v>
      </c>
    </row>
    <row r="57">
      <c r="A57" s="6" t="str">
        <f>HYPERLINK("www.jobs4tn.gov","Tennessee Career Center")</f>
        <v>Tennessee Career Center</v>
      </c>
      <c r="B57" s="15" t="s">
        <v>67</v>
      </c>
      <c r="C57" s="15"/>
      <c r="D57" s="15"/>
    </row>
    <row r="58">
      <c r="A58" s="15"/>
      <c r="B58" s="15"/>
      <c r="C58" s="15"/>
      <c r="D58" s="15"/>
    </row>
    <row r="59">
      <c r="A59" s="19" t="s">
        <v>68</v>
      </c>
      <c r="B59" s="20"/>
      <c r="C59" s="20"/>
      <c r="D59" s="20"/>
    </row>
    <row r="60">
      <c r="A60" s="10" t="str">
        <f>HYPERLINK("https://www.seniorridenashville.org/","Senior Ride Nashville")</f>
        <v>Senior Ride Nashville</v>
      </c>
      <c r="B60" s="9" t="s">
        <v>69</v>
      </c>
      <c r="C60" s="8" t="str">
        <f>HYPERLINK("https://www.greyhound.com/","Greyhound Bus")</f>
        <v>Greyhound Bus</v>
      </c>
      <c r="D60" s="9" t="s">
        <v>70</v>
      </c>
    </row>
    <row r="61">
      <c r="A61" s="10" t="str">
        <f>HYPERLINK("www.travelersaid.org/tai-members/nashville-rescue-mission","Travelers Aid (at Nashville Rescue Mission)")</f>
        <v>Travelers Aid (at Nashville Rescue Mission)</v>
      </c>
      <c r="B61" s="9" t="s">
        <v>71</v>
      </c>
      <c r="C61" s="8" t="str">
        <f>HYPERLINK("https://m.nashvillemta.org/nashville-mta-mobile-homepage.asp","WeGo Transit")</f>
        <v>WeGo Transit</v>
      </c>
      <c r="D61" s="9" t="s">
        <v>72</v>
      </c>
    </row>
    <row r="62">
      <c r="A62" s="10" t="str">
        <f>HYPERLINK("www.nashvillemta.org/Nashville-MTA-AccessRide-Request.asp","Access Ride")</f>
        <v>Access Ride</v>
      </c>
      <c r="B62" s="9" t="s">
        <v>73</v>
      </c>
      <c r="C62" s="21" t="str">
        <f>HYPERLINK("https://www.nashville.gov/Health-Department/Clinical-Health-Services/Project-Access-Nashville.aspx","Project Access Nashville")</f>
        <v>Project Access Nashville</v>
      </c>
      <c r="D62" s="22" t="s">
        <v>74</v>
      </c>
    </row>
    <row r="63">
      <c r="A63" s="23"/>
      <c r="B63" s="23"/>
      <c r="C63" s="23"/>
      <c r="D63" s="23"/>
    </row>
    <row r="64">
      <c r="A64" s="24" t="s">
        <v>75</v>
      </c>
      <c r="B64" s="20"/>
      <c r="C64" s="19" t="s">
        <v>76</v>
      </c>
      <c r="D64" s="20"/>
    </row>
    <row r="65">
      <c r="A65" s="6" t="str">
        <f>HYPERLINK("www.namitn.org","National Alliance on Mental Illness Tennessee")</f>
        <v>National Alliance on Mental Illness Tennessee</v>
      </c>
      <c r="B65" s="7" t="s">
        <v>77</v>
      </c>
      <c r="C65" s="10" t="str">
        <f>HYPERLINK("www.agapenashville.org","Agape Counseling Services")</f>
        <v>Agape Counseling Services</v>
      </c>
      <c r="D65" s="9" t="s">
        <v>78</v>
      </c>
    </row>
    <row r="66">
      <c r="A66" s="10" t="str">
        <f>HYPERLINK("www.mhc-tn.org","Mental Health Cooperative")</f>
        <v>Mental Health Cooperative</v>
      </c>
      <c r="B66" s="9" t="s">
        <v>79</v>
      </c>
      <c r="C66" s="10" t="str">
        <f>HYPERLINK("www.insightcounselingcenters.org","Insight Counseling Centers")</f>
        <v>Insight Counseling Centers</v>
      </c>
      <c r="D66" s="9" t="s">
        <v>80</v>
      </c>
    </row>
    <row r="67">
      <c r="A67" s="10" t="str">
        <f>HYPERLINK(" www.crossbridgeinc.org","CrossBridge, Inc.")</f>
        <v>CrossBridge, Inc.</v>
      </c>
      <c r="B67" s="9" t="s">
        <v>81</v>
      </c>
      <c r="C67" s="10" t="str">
        <f>HYPERLINK("https://tnvoices.org/","TN Voices")</f>
        <v>TN Voices</v>
      </c>
      <c r="D67" s="9" t="s">
        <v>82</v>
      </c>
    </row>
    <row r="68">
      <c r="A68" s="10" t="str">
        <f>HYPERLINK("www.parkcenternashville.org","Park Center")</f>
        <v>Park Center</v>
      </c>
      <c r="B68" s="9" t="s">
        <v>7</v>
      </c>
      <c r="C68" s="10" t="str">
        <f>HYPERLINK("www.cctenn.org/services/counseling","Catholic Charities")</f>
        <v>Catholic Charities</v>
      </c>
      <c r="D68" s="9" t="s">
        <v>10</v>
      </c>
    </row>
    <row r="69">
      <c r="A69" s="6" t="str">
        <f>HYPERLINK("www.centerstone.org","Centerstone")</f>
        <v>Centerstone</v>
      </c>
      <c r="B69" s="7" t="s">
        <v>83</v>
      </c>
      <c r="C69" s="10" t="str">
        <f>HYPERLINK("www.fcsnashville.org","Family and Children’s Service: Crisis Line")</f>
        <v>Family and Children’s Service: Crisis Line</v>
      </c>
      <c r="D69" s="9" t="s">
        <v>84</v>
      </c>
    </row>
    <row r="70">
      <c r="A70" s="25"/>
      <c r="B70" s="9"/>
      <c r="C70" s="23"/>
      <c r="D70" s="23"/>
    </row>
    <row r="71">
      <c r="A71" s="3" t="s">
        <v>85</v>
      </c>
      <c r="B71" s="5"/>
      <c r="C71" s="5"/>
      <c r="D71" s="5"/>
    </row>
    <row r="72">
      <c r="A72" s="6" t="str">
        <f>HYPERLINK(" www.plannedparenthood.org","Planned Parenthood")</f>
        <v>Planned Parenthood</v>
      </c>
      <c r="B72" s="7" t="s">
        <v>86</v>
      </c>
      <c r="C72" s="6" t="str">
        <f>HYPERLINK("www.westendmidwives.com","West End Women’s Health Center")</f>
        <v>West End Women’s Health Center</v>
      </c>
      <c r="D72" s="7" t="s">
        <v>87</v>
      </c>
    </row>
    <row r="73">
      <c r="A73" s="6" t="str">
        <f>HYPERLINK("https://www.thenewbeginningscenter.org/","The New Beginnings Center")</f>
        <v>The New Beginnings Center</v>
      </c>
      <c r="B73" s="7" t="s">
        <v>88</v>
      </c>
      <c r="C73" s="6" t="str">
        <f>HYPERLINK("https://www.shadetreeclinic.org/","Shade Tree Prenatal Care Program")</f>
        <v>Shade Tree Prenatal Care Program</v>
      </c>
      <c r="D73" s="7" t="s">
        <v>89</v>
      </c>
    </row>
    <row r="74">
      <c r="A74" s="6" t="str">
        <f>HYPERLINK("www.tn.gov/tenncare","TennCare")</f>
        <v>TennCare</v>
      </c>
      <c r="B74" s="26" t="s">
        <v>90</v>
      </c>
      <c r="C74" s="27" t="s">
        <v>91</v>
      </c>
      <c r="D74" s="26" t="s">
        <v>92</v>
      </c>
    </row>
    <row r="75">
      <c r="A75" s="10" t="s">
        <v>93</v>
      </c>
      <c r="B75" s="9" t="s">
        <v>94</v>
      </c>
      <c r="C75" s="23"/>
      <c r="D75" s="28"/>
    </row>
    <row r="76">
      <c r="A76" s="23"/>
      <c r="B76" s="23"/>
      <c r="C76" s="23"/>
      <c r="D76" s="28"/>
    </row>
    <row r="77">
      <c r="A77" s="19" t="s">
        <v>95</v>
      </c>
      <c r="B77" s="3"/>
      <c r="C77" s="29" t="s">
        <v>96</v>
      </c>
      <c r="D77" s="3" t="s">
        <v>97</v>
      </c>
    </row>
    <row r="78">
      <c r="A78" s="30" t="s">
        <v>98</v>
      </c>
      <c r="B78" s="30"/>
      <c r="C78" s="31" t="s">
        <v>99</v>
      </c>
      <c r="D78" s="6" t="str">
        <f>HYPERLINK("https://www.dispensaryofhope.org","Dispensary of Hope")</f>
        <v>Dispensary of Hope</v>
      </c>
    </row>
    <row r="79">
      <c r="A79" s="30" t="s">
        <v>100</v>
      </c>
      <c r="B79" s="30"/>
      <c r="C79" s="31" t="s">
        <v>101</v>
      </c>
      <c r="D79" s="30" t="str">
        <f>HYPERLINK("https://www.goodrx.com/","GOODRX ")</f>
        <v>GOODRX </v>
      </c>
    </row>
    <row r="80">
      <c r="A80" s="30" t="s">
        <v>102</v>
      </c>
      <c r="B80" s="32"/>
      <c r="C80" s="27" t="s">
        <v>103</v>
      </c>
      <c r="D80" s="33"/>
    </row>
    <row r="81">
      <c r="A81" s="30" t="s">
        <v>104</v>
      </c>
      <c r="B81" s="34"/>
      <c r="C81" s="14"/>
      <c r="D81" s="33"/>
    </row>
    <row r="82">
      <c r="A82" s="30" t="s">
        <v>105</v>
      </c>
      <c r="B82" s="34"/>
      <c r="C82" s="14"/>
      <c r="D82" s="33"/>
    </row>
    <row r="83">
      <c r="A83" s="30" t="s">
        <v>106</v>
      </c>
      <c r="B83" s="34"/>
      <c r="C83" s="14"/>
      <c r="D83" s="35" t="s">
        <v>8</v>
      </c>
    </row>
    <row r="84">
      <c r="A84" s="30"/>
      <c r="B84" s="34"/>
      <c r="C84" s="14"/>
      <c r="D84" s="33"/>
    </row>
    <row r="85">
      <c r="A85" s="36" t="s">
        <v>107</v>
      </c>
      <c r="B85" s="20"/>
      <c r="C85" s="36" t="s">
        <v>8</v>
      </c>
      <c r="D85" s="20"/>
    </row>
    <row r="86">
      <c r="A86" s="10" t="str">
        <f>HYPERLINK("www.tnprisonministry.org/","Tennessee Prison Outreach Ministry")</f>
        <v>Tennessee Prison Outreach Ministry</v>
      </c>
      <c r="B86" s="9" t="s">
        <v>108</v>
      </c>
      <c r="C86" s="10" t="str">
        <f>HYPERLINK("www.thehelpcentertn.org","The HELP Center")</f>
        <v>The HELP Center</v>
      </c>
      <c r="D86" s="9" t="s">
        <v>109</v>
      </c>
    </row>
    <row r="87">
      <c r="A87" s="10" t="str">
        <f>HYPERLINK("www.bahelpinghand.org","Be a Helping Hand")</f>
        <v>Be a Helping Hand</v>
      </c>
      <c r="B87" s="9" t="s">
        <v>110</v>
      </c>
      <c r="C87" s="10" t="str">
        <f>HYPERLINK("http://www.thistlefarms.org","Magdalene House, Thistle Farms")</f>
        <v>Magdalene House, Thistle Farms</v>
      </c>
      <c r="D87" s="9" t="s">
        <v>111</v>
      </c>
    </row>
    <row r="88">
      <c r="A88" s="10" t="str">
        <f>HYPERLINK("http://www.centerhousenashville.com/about.html","Center House Nashville")</f>
        <v>Center House Nashville</v>
      </c>
      <c r="B88" s="9" t="s">
        <v>112</v>
      </c>
      <c r="C88" s="10" t="str">
        <f>HYPERLINK("www.men-of-valor.org","Men of Valor")</f>
        <v>Men of Valor</v>
      </c>
      <c r="D88" s="9" t="s">
        <v>113</v>
      </c>
    </row>
    <row r="89">
      <c r="A89" s="10" t="str">
        <f>HYPERLINK("www.dismas.org ","Dismas House")</f>
        <v>Dismas House</v>
      </c>
      <c r="B89" s="9" t="s">
        <v>114</v>
      </c>
      <c r="C89" s="10" t="str">
        <f>HYPERLINK("www.projectreturninc.org","Project Return")</f>
        <v>Project Return</v>
      </c>
      <c r="D89" s="9" t="s">
        <v>115</v>
      </c>
    </row>
    <row r="90">
      <c r="A90" s="10" t="str">
        <f>HYPERLINK("www.familyreconciliationcenter.org","Guest House from Family Reconciliation Center")</f>
        <v>Guest House from Family Reconciliation Center</v>
      </c>
      <c r="B90" s="9" t="s">
        <v>116</v>
      </c>
      <c r="C90" s="23"/>
      <c r="D90" s="23"/>
    </row>
    <row r="91">
      <c r="A91" s="23"/>
      <c r="B91" s="23"/>
      <c r="C91" s="23"/>
      <c r="D91" s="23"/>
    </row>
    <row r="92">
      <c r="A92" s="36" t="s">
        <v>117</v>
      </c>
      <c r="B92" s="20"/>
      <c r="C92" s="20"/>
      <c r="D92" s="20"/>
    </row>
    <row r="93">
      <c r="A93" s="10" t="str">
        <f>HYPERLINK("www.tennesseevalley.va.gov","TVHS PTSD Clinic ")</f>
        <v>TVHS PTSD Clinic </v>
      </c>
      <c r="B93" s="9" t="s">
        <v>118</v>
      </c>
      <c r="C93" s="8" t="str">
        <f>HYPERLINK("https://www.roomintheinn.org/housing","Room In The Inn's Veteran's Program ")</f>
        <v>Room In The Inn's Veteran's Program </v>
      </c>
      <c r="D93" s="9" t="s">
        <v>119</v>
      </c>
    </row>
    <row r="94">
      <c r="A94" s="37" t="s">
        <v>120</v>
      </c>
      <c r="B94" s="9" t="s">
        <v>121</v>
      </c>
      <c r="C94" s="8" t="str">
        <f>HYPERLINK("https://www.nashvilleservingveterans.com/","Nashville Serving Veterans")</f>
        <v>Nashville Serving Veterans</v>
      </c>
      <c r="D94" s="9" t="s">
        <v>122</v>
      </c>
    </row>
    <row r="95">
      <c r="A95" s="10" t="str">
        <f>HYPERLINK("www.osdtn.org","Operation Stand Down")</f>
        <v>Operation Stand Down</v>
      </c>
      <c r="B95" s="9" t="s">
        <v>123</v>
      </c>
      <c r="C95" s="10" t="str">
        <f>HYPERLINK("www.tn.gov/veteran","TN Department of Veterans Affairs")</f>
        <v>TN Department of Veterans Affairs</v>
      </c>
      <c r="D95" s="9" t="s">
        <v>124</v>
      </c>
    </row>
    <row r="96">
      <c r="A96" s="10" t="str">
        <f>HYPERLINK("www.centerstone.org/ssvf","Supportive Services for Veteran Families at Centerstone")</f>
        <v>Supportive Services for Veteran Families at Centerstone</v>
      </c>
      <c r="B96" s="9" t="s">
        <v>125</v>
      </c>
      <c r="C96" s="10" t="str">
        <f>HYPERLINK("www.vetcenter.va.gov","Nashville Vet Center")</f>
        <v>Nashville Vet Center</v>
      </c>
      <c r="D96" s="9" t="s">
        <v>126</v>
      </c>
    </row>
    <row r="97">
      <c r="A97" s="38"/>
      <c r="B97" s="9"/>
      <c r="C97" s="23"/>
      <c r="D97" s="23"/>
    </row>
    <row r="98">
      <c r="A98" s="19" t="s">
        <v>127</v>
      </c>
      <c r="B98" s="20"/>
      <c r="C98" s="20"/>
      <c r="D98" s="20"/>
    </row>
    <row r="99">
      <c r="A99" s="39" t="str">
        <f>HYPERLINK("https://www.dogsondeployment.org/","Dogs On Deployment")</f>
        <v>Dogs On Deployment</v>
      </c>
      <c r="B99" s="40" t="s">
        <v>128</v>
      </c>
      <c r="C99" s="23"/>
      <c r="D99" s="23"/>
    </row>
    <row r="100">
      <c r="A100" s="39" t="str">
        <f>HYPERLINK("https://pactforanimals.org/military-foster-program/","PACT for Animals ")</f>
        <v>PACT for Animals </v>
      </c>
      <c r="B100" s="40" t="s">
        <v>128</v>
      </c>
      <c r="C100" s="23"/>
      <c r="D100" s="23"/>
    </row>
    <row r="101">
      <c r="A101" s="39" t="str">
        <f>HYPERLINK("https://gafsp.org/","Guardian Angels for Soldier's Pet")</f>
        <v>Guardian Angels for Soldier's Pet</v>
      </c>
      <c r="B101" s="40" t="s">
        <v>129</v>
      </c>
      <c r="C101" s="23"/>
      <c r="D101" s="23"/>
    </row>
    <row r="102">
      <c r="A102" s="39" t="str">
        <f>HYPERLINK("https://www.americanhumane.org/initiative/grant-helping-veterans-adopt-service-dogs/","Wags4Patriots")</f>
        <v>Wags4Patriots</v>
      </c>
      <c r="B102" s="40" t="s">
        <v>130</v>
      </c>
      <c r="C102" s="23"/>
      <c r="D102" s="23"/>
    </row>
    <row r="103">
      <c r="A103" s="23"/>
      <c r="B103" s="23"/>
      <c r="C103" s="23"/>
      <c r="D103" s="23"/>
    </row>
    <row r="104">
      <c r="A104" s="19" t="s">
        <v>131</v>
      </c>
      <c r="B104" s="20"/>
      <c r="C104" s="20"/>
      <c r="D104" s="20"/>
    </row>
    <row r="105">
      <c r="A105" s="10" t="str">
        <f>HYPERLINK("www.casaazafran.org","Casa Azafrán")</f>
        <v>Casa Azafrán</v>
      </c>
      <c r="B105" s="9" t="s">
        <v>132</v>
      </c>
      <c r="C105" s="6" t="str">
        <f>HYPERLINK("http://www.conexionamericas.org","Conexión Americas")</f>
        <v>Conexión Americas</v>
      </c>
      <c r="D105" s="7" t="s">
        <v>132</v>
      </c>
    </row>
    <row r="106">
      <c r="A106" s="10" t="str">
        <f>HYPERLINK("www.nashvillepubliclibrary.org/newamericanscorner/about/","New Americans Corners ")</f>
        <v>New Americans Corners </v>
      </c>
      <c r="B106" s="9" t="s">
        <v>133</v>
      </c>
      <c r="C106" s="6" t="str">
        <f>HYPERLINK("www.hispanicfamilyfoundation.com","Hispanic Family Foundation")</f>
        <v>Hispanic Family Foundation</v>
      </c>
      <c r="D106" s="7" t="s">
        <v>134</v>
      </c>
    </row>
    <row r="107">
      <c r="A107" s="10" t="str">
        <f>HYPERLINK("www.tnjfon.org","Tennessee Justice for Our Neighbors")</f>
        <v>Tennessee Justice for Our Neighbors</v>
      </c>
      <c r="B107" s="9" t="s">
        <v>135</v>
      </c>
      <c r="C107" s="6" t="str">
        <f>HYPERLINK("www.legacymissionvillage.org","Legacy Mission Village ")</f>
        <v>Legacy Mission Village </v>
      </c>
      <c r="D107" s="7" t="s">
        <v>136</v>
      </c>
    </row>
    <row r="108">
      <c r="A108" s="10" t="str">
        <f>HYPERLINK("www.tnimmigrant.org","Tennessee Immigrant &amp; Refugee Rights Coalition")</f>
        <v>Tennessee Immigrant &amp; Refugee Rights Coalition</v>
      </c>
      <c r="B108" s="9" t="s">
        <v>137</v>
      </c>
      <c r="C108" s="6" t="str">
        <f>HYPERLINK("www.empowernashville.org","Nashville International Center for Empowerment")</f>
        <v>Nashville International Center for Empowerment</v>
      </c>
      <c r="D108" s="7" t="s">
        <v>138</v>
      </c>
    </row>
    <row r="109">
      <c r="A109" s="10" t="str">
        <f>HYPERLINK("www.workersdignity.org","Worker’s Dignity")</f>
        <v>Worker’s Dignity</v>
      </c>
      <c r="B109" s="41" t="s">
        <v>139</v>
      </c>
      <c r="C109" s="10" t="str">
        <f>HYPERLINK("www.nationsministrycenter.org","Nations Ministry Center")</f>
        <v>Nations Ministry Center</v>
      </c>
      <c r="D109" s="9" t="s">
        <v>140</v>
      </c>
    </row>
    <row r="110">
      <c r="A110" s="10" t="str">
        <f>HYPERLINK("www.workersdignity.org","Dignidad Obrera")</f>
        <v>Dignidad Obrera</v>
      </c>
      <c r="B110" s="41" t="s">
        <v>141</v>
      </c>
      <c r="C110" s="23"/>
      <c r="D110" s="23"/>
    </row>
    <row r="111">
      <c r="A111" s="25"/>
      <c r="B111" s="9"/>
      <c r="C111" s="23"/>
      <c r="D111" s="23"/>
    </row>
    <row r="112">
      <c r="A112" s="19" t="s">
        <v>142</v>
      </c>
      <c r="B112" s="20"/>
      <c r="C112" s="19" t="s">
        <v>143</v>
      </c>
      <c r="D112" s="20"/>
    </row>
    <row r="113">
      <c r="A113" s="10" t="str">
        <f>HYPERLINK("www.coamidtn.org","Council on Aging of Greater Nashville")</f>
        <v>Council on Aging of Greater Nashville</v>
      </c>
      <c r="B113" s="9" t="s">
        <v>144</v>
      </c>
      <c r="C113" s="6" t="str">
        <f>HYPERLINK("http://pflagnashville.org/","PFlag Nashville")</f>
        <v>PFlag Nashville</v>
      </c>
      <c r="D113" s="7" t="s">
        <v>145</v>
      </c>
    </row>
    <row r="114">
      <c r="A114" s="6" t="str">
        <f>HYPERLINK("www.tnaaad.org","Aging &amp; Disability Resource Center")</f>
        <v>Aging &amp; Disability Resource Center</v>
      </c>
      <c r="B114" s="7" t="s">
        <v>146</v>
      </c>
      <c r="C114" s="8" t="str">
        <f>HYPERLINK("https://www.vanderbilthealth.com/lgbtihealthprogram/","Vanderbilt Program for LGBTQ Health  ")</f>
        <v>Vanderbilt Program for LGBTQ Health  </v>
      </c>
      <c r="D114" s="9" t="s">
        <v>147</v>
      </c>
    </row>
    <row r="115">
      <c r="A115" s="10" t="str">
        <f>HYPERLINK("www.fiftyforward.org","Fifty Forward")</f>
        <v>Fifty Forward</v>
      </c>
      <c r="B115" s="9" t="s">
        <v>148</v>
      </c>
      <c r="C115" s="10" t="s">
        <v>149</v>
      </c>
      <c r="D115" s="9"/>
    </row>
    <row r="116">
      <c r="A116" s="10" t="str">
        <f>HYPERLINK("https://www.seniorridenashville.org/","Senior Ride Nashville")</f>
        <v>Senior Ride Nashville</v>
      </c>
      <c r="B116" s="9" t="s">
        <v>69</v>
      </c>
      <c r="C116" s="23"/>
      <c r="D116" s="23"/>
    </row>
    <row r="117">
      <c r="A117" s="23"/>
      <c r="B117" s="23"/>
      <c r="C117" s="23"/>
      <c r="D117" s="23"/>
    </row>
    <row r="118">
      <c r="A118" s="36" t="s">
        <v>150</v>
      </c>
      <c r="B118" s="20"/>
      <c r="C118" s="36" t="s">
        <v>8</v>
      </c>
      <c r="D118" s="20"/>
    </row>
    <row r="119">
      <c r="A119" s="10" t="str">
        <f>HYPERLINK("www.ywcanashville.com","YWCA Domestic Violence Shelter - Nashville, TN ")</f>
        <v>YWCA Domestic Violence Shelter - Nashville, TN </v>
      </c>
      <c r="B119" s="9" t="s">
        <v>151</v>
      </c>
      <c r="C119" s="10" t="str">
        <f>HYPERLINK("http://www.maryparrish.org","The Mary Parrish Center - Nashville, TN")</f>
        <v>The Mary Parrish Center - Nashville, TN</v>
      </c>
      <c r="D119" s="9" t="s">
        <v>152</v>
      </c>
    </row>
    <row r="120">
      <c r="A120" s="10" t="str">
        <f>HYPERLINK("www.bridgesdvc.org","Bridges Domestic Violence Center - Franklin, TN")</f>
        <v>Bridges Domestic Violence Center - Franklin, TN</v>
      </c>
      <c r="B120" s="9" t="s">
        <v>153</v>
      </c>
      <c r="C120" s="10" t="str">
        <f>HYPERLINK("https://morningstarsanctuary.com/","Morning Star Sanctuary - Madison, TN")</f>
        <v>Morning Star Sanctuary - Madison, TN</v>
      </c>
      <c r="D120" s="9" t="s">
        <v>154</v>
      </c>
    </row>
    <row r="121">
      <c r="A121" s="10" t="s">
        <v>155</v>
      </c>
      <c r="B121" s="23"/>
      <c r="C121" s="23"/>
      <c r="D121" s="23"/>
    </row>
    <row r="122">
      <c r="A122" s="42"/>
      <c r="B122" s="23"/>
      <c r="C122" s="23"/>
      <c r="D122" s="23"/>
    </row>
    <row r="123">
      <c r="A123" s="10" t="str">
        <f>HYPERLINK("https://redrover.org/relief/dv-safe-escape-grants/","Are you escaping abuse with your pet? Red Rover Can Help!")</f>
        <v>Are you escaping abuse with your pet? Red Rover Can Help!</v>
      </c>
      <c r="B123" s="23"/>
      <c r="C123" s="23"/>
      <c r="D123" s="23"/>
    </row>
    <row r="124">
      <c r="A124" s="38" t="s">
        <v>8</v>
      </c>
      <c r="B124" s="23"/>
      <c r="C124" s="23"/>
      <c r="D124" s="23"/>
    </row>
    <row r="125">
      <c r="A125" s="36" t="s">
        <v>156</v>
      </c>
      <c r="B125" s="36"/>
      <c r="C125" s="36" t="s">
        <v>157</v>
      </c>
      <c r="D125" s="36"/>
    </row>
    <row r="126">
      <c r="A126" s="21" t="str">
        <f>HYPERLINK("www.thistlefarms.org","Magdalene House, Thistle Farms")</f>
        <v>Magdalene House, Thistle Farms</v>
      </c>
      <c r="B126" s="22" t="s">
        <v>111</v>
      </c>
      <c r="C126" s="10" t="str">
        <f>HYPERLINK("www.aphesishouse.org","Aphesis House ")</f>
        <v>Aphesis House </v>
      </c>
      <c r="D126" s="9" t="s">
        <v>158</v>
      </c>
    </row>
    <row r="127">
      <c r="A127" s="21" t="str">
        <f>HYPERLINK("www.mendingheartsinc.org","Mending Hearts")</f>
        <v>Mending Hearts</v>
      </c>
      <c r="B127" s="22" t="s">
        <v>159</v>
      </c>
      <c r="C127" s="10" t="str">
        <f>HYPERLINK("www.men-of-valor.org","Men of Valor")</f>
        <v>Men of Valor</v>
      </c>
      <c r="D127" s="9" t="s">
        <v>113</v>
      </c>
    </row>
    <row r="128">
      <c r="A128" s="21" t="str">
        <f>HYPERLINK("www.renewalhouse.org","Renewal House for Mothers")</f>
        <v>Renewal House for Mothers</v>
      </c>
      <c r="B128" s="22" t="s">
        <v>160</v>
      </c>
      <c r="C128" s="10" t="str">
        <f>HYPERLINK("www.dismas.org","Dismas House ")</f>
        <v>Dismas House </v>
      </c>
      <c r="D128" s="9" t="s">
        <v>114</v>
      </c>
    </row>
    <row r="129">
      <c r="A129" s="21" t="str">
        <f>HYPERLINK("https://www.salvationarmynashville.org/","Salvation Army Family Center of Hope")</f>
        <v>Salvation Army Family Center of Hope</v>
      </c>
      <c r="B129" s="22" t="s">
        <v>15</v>
      </c>
      <c r="C129" s="8" t="str">
        <f>HYPERLINK("https://www.salvationarmynashville.org/","Salvation Army Single Men’s Center of Hope")</f>
        <v>Salvation Army Single Men’s Center of Hope</v>
      </c>
      <c r="D129" s="9" t="s">
        <v>15</v>
      </c>
    </row>
    <row r="130">
      <c r="A130" s="21" t="str">
        <f>HYPERLINK("https://www.salvationarmynashville.org/","Salvation Army Single Women’s Center of Hope")</f>
        <v>Salvation Army Single Women’s Center of Hope</v>
      </c>
      <c r="B130" s="22" t="s">
        <v>15</v>
      </c>
      <c r="C130" s="10" t="str">
        <f>HYPERLINK("www.matthew25helps.com","Matthew 25")</f>
        <v>Matthew 25</v>
      </c>
      <c r="D130" s="9" t="s">
        <v>161</v>
      </c>
    </row>
    <row r="131">
      <c r="A131" s="21" t="str">
        <f>HYPERLINK("www.thenextdoor.org","The Next Door ")</f>
        <v>The Next Door </v>
      </c>
      <c r="B131" s="22" t="s">
        <v>162</v>
      </c>
      <c r="C131" s="21"/>
      <c r="D131" s="22"/>
    </row>
    <row r="132">
      <c r="A132" s="21" t="str">
        <f>HYPERLINK("www.wowtransition.org","Women of Worth Recovery Home ")</f>
        <v>Women of Worth Recovery Home </v>
      </c>
      <c r="B132" s="22" t="s">
        <v>163</v>
      </c>
      <c r="C132" s="21"/>
      <c r="D132" s="22"/>
    </row>
    <row r="133">
      <c r="A133" s="21" t="str">
        <f>HYPERLINK("www.yanahouse.com/index.html","YANA Recovery House ")</f>
        <v>YANA Recovery House </v>
      </c>
      <c r="B133" s="22" t="s">
        <v>164</v>
      </c>
      <c r="C133" s="21"/>
      <c r="D133" s="22"/>
    </row>
    <row r="134">
      <c r="A134" s="38" t="s">
        <v>8</v>
      </c>
      <c r="B134" s="41" t="s">
        <v>8</v>
      </c>
      <c r="C134" s="38"/>
      <c r="D134" s="41"/>
    </row>
    <row r="135">
      <c r="A135" s="36" t="s">
        <v>165</v>
      </c>
      <c r="B135" s="20"/>
      <c r="C135" s="36" t="s">
        <v>166</v>
      </c>
      <c r="D135" s="20"/>
    </row>
    <row r="136">
      <c r="A136" s="10" t="str">
        <f>HYPERLINK("https://www.secondchance-soberliving.com/","Second Chance Sober Living")</f>
        <v>Second Chance Sober Living</v>
      </c>
      <c r="B136" s="9" t="s">
        <v>167</v>
      </c>
      <c r="C136" s="10" t="str">
        <f>HYPERLINK("https://www.projecttransition.com/","Project Transition ")</f>
        <v>Project Transition </v>
      </c>
      <c r="D136" s="9" t="s">
        <v>168</v>
      </c>
    </row>
    <row r="137">
      <c r="A137" s="21" t="str">
        <f>HYPERLINK("www.welcomehomemin.org","Welcome Home Ministries ")</f>
        <v>Welcome Home Ministries </v>
      </c>
      <c r="B137" s="22" t="s">
        <v>169</v>
      </c>
      <c r="C137" s="10" t="str">
        <f>HYPERLINK("www.isa58.org","Isaiah 58")</f>
        <v>Isaiah 58</v>
      </c>
      <c r="D137" s="41" t="s">
        <v>170</v>
      </c>
    </row>
    <row r="138">
      <c r="A138" s="23"/>
      <c r="B138" s="23"/>
      <c r="C138" s="23"/>
      <c r="D138" s="23"/>
    </row>
    <row r="139">
      <c r="A139" s="36" t="s">
        <v>171</v>
      </c>
      <c r="B139" s="20"/>
      <c r="C139" s="36" t="s">
        <v>8</v>
      </c>
      <c r="D139" s="20"/>
    </row>
    <row r="140">
      <c r="A140" s="43" t="str">
        <f>HYPERLINK("https://www.salvationarmynashville.org/","Salvation Army")</f>
        <v>Salvation Army</v>
      </c>
      <c r="B140" s="9" t="s">
        <v>15</v>
      </c>
      <c r="C140" s="9" t="s">
        <v>172</v>
      </c>
      <c r="D140" s="23"/>
    </row>
    <row r="141">
      <c r="A141" s="10" t="str">
        <f>HYPERLINK("www.nashvillerescuemission.org","Nashville Rescue Mission Men's Campus")</f>
        <v>Nashville Rescue Mission Men's Campus</v>
      </c>
      <c r="B141" s="41" t="s">
        <v>62</v>
      </c>
      <c r="C141" s="9" t="s">
        <v>173</v>
      </c>
      <c r="D141" s="23"/>
    </row>
    <row r="142">
      <c r="A142" s="10" t="str">
        <f>HYPERLINK("www.nashvillerescuemission.org","Nashville Rescue Mission Women and Family Campus")</f>
        <v>Nashville Rescue Mission Women and Family Campus</v>
      </c>
      <c r="B142" s="41" t="s">
        <v>64</v>
      </c>
      <c r="C142" s="9" t="s">
        <v>173</v>
      </c>
      <c r="D142" s="23"/>
    </row>
    <row r="143">
      <c r="A143" s="10" t="str">
        <f>HYPERLINK("www.oasiscenter.org","Oasis Center")</f>
        <v>Oasis Center</v>
      </c>
      <c r="B143" s="9" t="s">
        <v>174</v>
      </c>
      <c r="C143" s="9" t="s">
        <v>175</v>
      </c>
      <c r="D143" s="23"/>
    </row>
    <row r="144">
      <c r="A144" s="10" t="str">
        <f>HYPERLINK("www.oasiscenter.org","Oasis Winter Shelter")</f>
        <v>Oasis Winter Shelter</v>
      </c>
      <c r="B144" s="9" t="s">
        <v>174</v>
      </c>
      <c r="C144" s="9" t="s">
        <v>176</v>
      </c>
      <c r="D144" s="23"/>
    </row>
    <row r="145">
      <c r="A145" s="10" t="str">
        <f>HYPERLINK("www.nashvillelaunchpad.com","Launch Pad")</f>
        <v>Launch Pad</v>
      </c>
      <c r="B145" s="23"/>
      <c r="C145" s="9" t="s">
        <v>176</v>
      </c>
      <c r="D145" s="23"/>
    </row>
    <row r="146">
      <c r="A146" s="10" t="str">
        <f>HYPERLINK("www.safehaven.org","Safe Haven Family Shelter")</f>
        <v>Safe Haven Family Shelter</v>
      </c>
      <c r="B146" s="9" t="s">
        <v>177</v>
      </c>
      <c r="C146" s="9" t="s">
        <v>178</v>
      </c>
      <c r="D146" s="23"/>
    </row>
    <row r="147">
      <c r="A147" s="10" t="str">
        <f>HYPERLINK("www.youthvillages.org","Youth Villages")</f>
        <v>Youth Villages</v>
      </c>
      <c r="B147" s="9" t="s">
        <v>179</v>
      </c>
      <c r="C147" s="9" t="s">
        <v>180</v>
      </c>
      <c r="D147" s="23"/>
    </row>
    <row r="148">
      <c r="A148" s="8" t="str">
        <f>HYPERLINK("http://www.parkcenternashville.org/programs/transitional-youth","Park Center's Emerging Adults Program")</f>
        <v>Park Center's Emerging Adults Program</v>
      </c>
      <c r="B148" s="9" t="s">
        <v>7</v>
      </c>
      <c r="C148" s="9" t="s">
        <v>180</v>
      </c>
      <c r="D148" s="23"/>
    </row>
    <row r="149">
      <c r="A149" s="8" t="str">
        <f>HYPERLINK("https://www.roomintheinn.org/housing","Room In The Inn")</f>
        <v>Room In The Inn</v>
      </c>
      <c r="B149" s="9" t="s">
        <v>119</v>
      </c>
      <c r="C149" s="9" t="s">
        <v>181</v>
      </c>
      <c r="D149" s="23"/>
    </row>
    <row r="150">
      <c r="A150" s="23"/>
      <c r="B150" s="23"/>
      <c r="C150" s="23"/>
      <c r="D150" s="23"/>
    </row>
    <row r="151">
      <c r="A151" s="43" t="str">
        <f>HYPERLINK("https://www.safpaw.org/what-we-do","Are you homeless and in need of fostering, food, basic supplies and medical for your pet? SAFPAW Can Help! 615-474-8390")</f>
        <v>Are you homeless and in need of fostering, food, basic supplies and medical for your pet? SAFPAW Can Help! 615-474-8390</v>
      </c>
      <c r="B151" s="23"/>
      <c r="C151" s="23"/>
      <c r="D151" s="23"/>
    </row>
    <row r="152">
      <c r="A152" s="42"/>
      <c r="B152" s="23"/>
      <c r="C152" s="23"/>
      <c r="D152" s="44"/>
    </row>
  </sheetData>
  <hyperlinks>
    <hyperlink r:id="rId1" ref="C74"/>
    <hyperlink r:id="rId2" ref="A75"/>
    <hyperlink r:id="rId3" ref="A78"/>
    <hyperlink r:id="rId4" ref="C78"/>
    <hyperlink r:id="rId5" ref="A79"/>
    <hyperlink r:id="rId6" ref="C79"/>
    <hyperlink r:id="rId7" ref="A80"/>
    <hyperlink r:id="rId8" ref="C80"/>
    <hyperlink r:id="rId9" ref="A81"/>
    <hyperlink r:id="rId10" ref="A82"/>
    <hyperlink r:id="rId11" ref="A83"/>
    <hyperlink r:id="rId12" ref="C115"/>
    <hyperlink r:id="rId13" ref="A121"/>
  </hyperlin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60.57"/>
    <col customWidth="1" min="2" max="2" width="44.14"/>
    <col customWidth="1" min="3" max="3" width="81.43"/>
  </cols>
  <sheetData>
    <row r="1">
      <c r="A1" s="1" t="str">
        <f>HYPERLINK("https://redrover.org/relief/dv-safe-escape-grants/","IF YOU NEED PET BOARDING BECAUSE YOU ARE FLEEING DOMESTIC VIOLENCE ")</f>
        <v>IF YOU NEED PET BOARDING BECAUSE YOU ARE FLEEING DOMESTIC VIOLENCE </v>
      </c>
      <c r="B1" s="2"/>
      <c r="C1" s="45"/>
    </row>
    <row r="2">
      <c r="A2" s="1" t="str">
        <f>HYPERLINK("https://redrover.org/relief/emergency-boarding-grants/","OR BEING HOSPITALIZED DUE TO COVID-19 RED ROVER CAN HELP! ")</f>
        <v>OR BEING HOSPITALIZED DUE TO COVID-19 RED ROVER CAN HELP! </v>
      </c>
      <c r="B2" s="2"/>
      <c r="C2" s="45"/>
    </row>
    <row r="3">
      <c r="A3" s="36" t="s">
        <v>182</v>
      </c>
      <c r="B3" s="45"/>
      <c r="C3" s="45"/>
    </row>
    <row r="4">
      <c r="A4" s="46" t="str">
        <f>HYPERLINK("https://animalhousenashville.com/","ANIMAL HOUSE")</f>
        <v>ANIMAL HOUSE</v>
      </c>
      <c r="B4" s="47" t="s">
        <v>183</v>
      </c>
      <c r="C4" s="47" t="s">
        <v>184</v>
      </c>
    </row>
    <row r="5">
      <c r="A5" s="48" t="str">
        <f>HYPERLINK("https://www.petcommunitycenter.org/","PET COMMUNITY CENTER ")</f>
        <v>PET COMMUNITY CENTER </v>
      </c>
      <c r="B5" s="47" t="s">
        <v>185</v>
      </c>
      <c r="C5" s="47" t="s">
        <v>186</v>
      </c>
    </row>
    <row r="6">
      <c r="A6" s="46" t="str">
        <f>HYPERLINK("https://www.valuevet.net/","VALUE VET")</f>
        <v>VALUE VET</v>
      </c>
      <c r="B6" s="47" t="s">
        <v>187</v>
      </c>
      <c r="C6" s="47" t="s">
        <v>184</v>
      </c>
    </row>
    <row r="7">
      <c r="A7" s="36" t="s">
        <v>188</v>
      </c>
      <c r="B7" s="36"/>
      <c r="C7" s="36"/>
    </row>
    <row r="8">
      <c r="A8" s="10" t="str">
        <f>HYPERLINK("https://www.young-williams.org/","YOUNG-WILLIAMS ANIMAL CENTER")</f>
        <v>YOUNG-WILLIAMS ANIMAL CENTER</v>
      </c>
      <c r="B8" s="49" t="s">
        <v>189</v>
      </c>
      <c r="C8" s="50" t="s">
        <v>190</v>
      </c>
    </row>
    <row r="9">
      <c r="A9" s="46" t="str">
        <f>HYPERLINK("https://www.valuevet.net/","VALUE VET")</f>
        <v>VALUE VET</v>
      </c>
      <c r="B9" s="47" t="s">
        <v>191</v>
      </c>
      <c r="C9" s="50" t="s">
        <v>192</v>
      </c>
    </row>
    <row r="10">
      <c r="A10" s="48" t="str">
        <f>HYPERLINK("http://www.sumnerspayneuteralliance.org/services-a-fees.html","SUMNER SPAY NEUTER ALLIANCE")</f>
        <v>SUMNER SPAY NEUTER ALLIANCE</v>
      </c>
      <c r="B10" s="49" t="s">
        <v>193</v>
      </c>
      <c r="C10" s="50" t="s">
        <v>194</v>
      </c>
    </row>
    <row r="11">
      <c r="A11" s="46" t="str">
        <f>HYPERLINK("https://www.safpaw.org/what-we-do","SAFPAW")</f>
        <v>SAFPAW</v>
      </c>
      <c r="B11" s="47" t="s">
        <v>195</v>
      </c>
      <c r="C11" s="51" t="s">
        <v>196</v>
      </c>
    </row>
    <row r="12">
      <c r="A12" s="48" t="str">
        <f>HYPERLINK("https://www.petcommunitycenter.org/","PET COMMUNITY CENTER ")</f>
        <v>PET COMMUNITY CENTER </v>
      </c>
      <c r="B12" s="47" t="s">
        <v>197</v>
      </c>
      <c r="C12" s="51" t="s">
        <v>196</v>
      </c>
    </row>
    <row r="13">
      <c r="A13" s="52" t="str">
        <f>HYPERLINK("https://www.peopleforanimals.net/","PEOPLE FOR ANIMALS ")</f>
        <v>PEOPLE FOR ANIMALS </v>
      </c>
      <c r="B13" s="49" t="s">
        <v>198</v>
      </c>
      <c r="C13" s="53" t="s">
        <v>199</v>
      </c>
    </row>
    <row r="14">
      <c r="A14" s="46" t="str">
        <f>HYPERLINK("https://www.newleashonline.org/spay-neuter","NEW LEASH ON LIFE")</f>
        <v>NEW LEASH ON LIFE</v>
      </c>
      <c r="B14" s="49" t="s">
        <v>200</v>
      </c>
      <c r="C14" s="53" t="s">
        <v>199</v>
      </c>
    </row>
    <row r="15">
      <c r="A15" s="52" t="str">
        <f>HYPERLINK("http://www.humanesocietyofputnamcounty.org/","HUMANE SOCIETY OF PUTNAM CO")</f>
        <v>HUMANE SOCIETY OF PUTNAM CO</v>
      </c>
      <c r="B15" s="49" t="s">
        <v>201</v>
      </c>
      <c r="C15" s="54" t="s">
        <v>202</v>
      </c>
    </row>
    <row r="16">
      <c r="A16" s="48" t="s">
        <v>203</v>
      </c>
      <c r="B16" s="47" t="s">
        <v>204</v>
      </c>
      <c r="C16" s="54" t="s">
        <v>205</v>
      </c>
    </row>
    <row r="17">
      <c r="A17" s="48" t="str">
        <f>HYPERLINK("https://www.habitatforpaws.org/request-services","HABITAT FOR PAWS")</f>
        <v>HABITAT FOR PAWS</v>
      </c>
      <c r="B17" s="47" t="s">
        <v>206</v>
      </c>
      <c r="C17" s="54" t="s">
        <v>207</v>
      </c>
    </row>
    <row r="18">
      <c r="A18" s="52" t="str">
        <f>HYPERLINK("https://www.nashville.gov/Health-Department/Animal-Care-and-Control.aspx","METRO ANIMAL CARE AND CONTROL ")</f>
        <v>METRO ANIMAL CARE AND CONTROL </v>
      </c>
      <c r="B18" s="49" t="s">
        <v>208</v>
      </c>
      <c r="C18" s="53" t="s">
        <v>209</v>
      </c>
    </row>
    <row r="19">
      <c r="A19" s="48" t="str">
        <f>HYPERLINK("http://www.browndogfoundation.org","BROWN DOG FOUNDATION ")</f>
        <v>BROWN DOG FOUNDATION </v>
      </c>
      <c r="B19" s="49" t="s">
        <v>8</v>
      </c>
      <c r="C19" s="55" t="s">
        <v>210</v>
      </c>
    </row>
    <row r="20">
      <c r="A20" s="46"/>
      <c r="B20" s="38"/>
      <c r="C20" s="56"/>
    </row>
    <row r="21">
      <c r="A21" s="57" t="s">
        <v>211</v>
      </c>
      <c r="B21" s="58"/>
      <c r="C21" s="59"/>
    </row>
    <row r="22">
      <c r="A22" s="48" t="str">
        <f>HYPERLINK("https://retailservices.wellsfargo.com/wfha_veterinarians.html","WELLS FARGO VETINARY FINANCING")</f>
        <v>WELLS FARGO VETINARY FINANCING</v>
      </c>
      <c r="B22" s="48" t="str">
        <f>HYPERLINK("https://www.carecredit.com/","CARE CREDIT ")</f>
        <v>CARE CREDIT </v>
      </c>
      <c r="C22" s="60" t="str">
        <f>HYPERLINK("https://scratchpay.com/","SCRATCHPAY ")</f>
        <v>SCRATCHPAY </v>
      </c>
    </row>
    <row r="23">
      <c r="A23" s="61"/>
      <c r="B23" s="55"/>
      <c r="C23" s="56"/>
    </row>
    <row r="24">
      <c r="A24" s="57" t="s">
        <v>212</v>
      </c>
      <c r="B24" s="58"/>
      <c r="C24" s="59"/>
    </row>
    <row r="25">
      <c r="A25" s="48" t="str">
        <f>HYPERLINK("https://support.waggle.org/hc/en-us/articles/360033512232-Apply-for-Financial-Assistance","WAGGLE ")</f>
        <v>WAGGLE </v>
      </c>
      <c r="B25" s="46" t="str">
        <f>HYPERLINK("https://www.plumfund.com/pet-fund/","PLUMFUND")</f>
        <v>PLUMFUND</v>
      </c>
      <c r="C25" s="46" t="str">
        <f>HYPERLINK("https://cofundmypet.com/","COFUND MY PET ")</f>
        <v>COFUND MY PET </v>
      </c>
    </row>
    <row r="26">
      <c r="A26" s="61"/>
      <c r="B26" s="55"/>
      <c r="C26" s="56"/>
    </row>
    <row r="27">
      <c r="A27" s="36" t="s">
        <v>213</v>
      </c>
      <c r="B27" s="62"/>
      <c r="C27" s="63"/>
    </row>
    <row r="28">
      <c r="A28" s="48" t="str">
        <f>HYPERLINK("http://frankiesfriends.org","FRANKIE'S FRIENDS")</f>
        <v>FRANKIE'S FRIENDS</v>
      </c>
      <c r="B28" s="49" t="s">
        <v>214</v>
      </c>
      <c r="C28" s="56"/>
    </row>
    <row r="29">
      <c r="A29" s="48" t="str">
        <f>HYPERLINK("http://www.paws4acure.org/askforhelp.php","PAWS4ACURE")</f>
        <v>PAWS4ACURE</v>
      </c>
      <c r="B29" s="49" t="s">
        <v>215</v>
      </c>
      <c r="C29" s="56"/>
    </row>
    <row r="30">
      <c r="A30" s="48" t="str">
        <f>HYPERLINK("https://hpets.org/","HANDICAPPED PETS FOUNDATION")</f>
        <v>HANDICAPPED PETS FOUNDATION</v>
      </c>
      <c r="B30" s="49" t="s">
        <v>216</v>
      </c>
      <c r="C30" s="56"/>
    </row>
    <row r="31">
      <c r="A31" s="48" t="str">
        <f>HYPERLINK("https://riedelcody.org/funding-sources/financial-help/rcf-funding-process/","THE RIEDEL AND CODY FUND")</f>
        <v>THE RIEDEL AND CODY FUND</v>
      </c>
      <c r="B31" s="49" t="s">
        <v>217</v>
      </c>
      <c r="C31" s="56"/>
    </row>
    <row r="32">
      <c r="A32" s="48" t="str">
        <f>HYPERLINK("https://livelikeroo.org/assistance","LIVE LIKE ROO ")</f>
        <v>LIVE LIKE ROO </v>
      </c>
      <c r="B32" s="49" t="s">
        <v>218</v>
      </c>
      <c r="C32" s="56"/>
    </row>
    <row r="33">
      <c r="A33" s="48" t="str">
        <f>HYPERLINK("https://themagicbulletfund.org/apply/","THE MAGIC BULLET")</f>
        <v>THE MAGIC BULLET</v>
      </c>
      <c r="B33" s="49" t="s">
        <v>219</v>
      </c>
      <c r="C33" s="56"/>
    </row>
    <row r="34">
      <c r="A34" s="48" t="str">
        <f>HYPERLINK("https://waggle.org/resources/apply-for-financial-support/","WAGGLE FOUNDATION")</f>
        <v>WAGGLE FOUNDATION</v>
      </c>
      <c r="B34" s="49" t="s">
        <v>220</v>
      </c>
      <c r="C34" s="56"/>
    </row>
    <row r="35">
      <c r="A35" s="48" t="str">
        <f>HYPERLINK("https://thepetfund.com/for-pet-owners","THE PET FUND")</f>
        <v>THE PET FUND</v>
      </c>
      <c r="B35" s="49" t="s">
        <v>221</v>
      </c>
      <c r="C35" s="56"/>
    </row>
    <row r="36">
      <c r="A36" s="48" t="str">
        <f>HYPERLINK("http://friendsandvetshelpingpets.org/need-assitance/","FRIENDS AND VETS HELPING PETS ")</f>
        <v>FRIENDS AND VETS HELPING PETS </v>
      </c>
      <c r="B36" s="49" t="s">
        <v>222</v>
      </c>
      <c r="C36" s="56"/>
    </row>
    <row r="37">
      <c r="A37" s="64" t="str">
        <f>HYPERLINK("https://www.lucytherescuedog.org/ask-for-help.html","LUCY THE RESCUE DOG")</f>
        <v>LUCY THE RESCUE DOG</v>
      </c>
      <c r="B37" s="65" t="s">
        <v>223</v>
      </c>
      <c r="C37" s="49"/>
    </row>
    <row r="38">
      <c r="A38" s="48" t="s">
        <v>224</v>
      </c>
      <c r="B38" s="49" t="s">
        <v>225</v>
      </c>
      <c r="C38" s="49"/>
    </row>
    <row r="39">
      <c r="A39" s="48" t="s">
        <v>226</v>
      </c>
      <c r="B39" s="49" t="s">
        <v>227</v>
      </c>
      <c r="C39" s="49"/>
    </row>
    <row r="40">
      <c r="A40" s="48" t="s">
        <v>228</v>
      </c>
      <c r="B40" s="49" t="s">
        <v>229</v>
      </c>
      <c r="C40" s="49"/>
    </row>
    <row r="41">
      <c r="A41" s="66"/>
      <c r="B41" s="49"/>
      <c r="C41" s="49"/>
    </row>
    <row r="42">
      <c r="A42" s="45" t="s">
        <v>230</v>
      </c>
      <c r="B42" s="57"/>
      <c r="C42" s="63"/>
    </row>
    <row r="43">
      <c r="A43" s="48" t="str">
        <f>HYPERLINK("https://www.themosbyfoundation.org/apply-for-assistance/pre-qualification-app/","THE MOSBY FOUNDATION")</f>
        <v>THE MOSBY FOUNDATION</v>
      </c>
      <c r="B43" s="49" t="s">
        <v>231</v>
      </c>
      <c r="C43" s="56"/>
    </row>
    <row r="44">
      <c r="A44" s="67" t="str">
        <f>HYPERLINK("https://www.fortheloveofalex.org/help-my-pet","FOR THE LOVE OF ALEX ")</f>
        <v>FOR THE LOVE OF ALEX </v>
      </c>
      <c r="B44" s="68" t="s">
        <v>232</v>
      </c>
      <c r="C44" s="56"/>
    </row>
    <row r="45">
      <c r="A45" s="60" t="str">
        <f>HYPERLINK("http://lovieslegacy.org/Programs/Veterinary_Assistance_Program/","LOVIE'S LEGACY ")</f>
        <v>LOVIE'S LEGACY </v>
      </c>
      <c r="B45" s="65" t="s">
        <v>233</v>
      </c>
      <c r="C45" s="69" t="s">
        <v>8</v>
      </c>
    </row>
    <row r="46">
      <c r="A46" s="48" t="str">
        <f>HYPERLINK("https://www.mollyshope.org/application","MOLLY'S HOPE")</f>
        <v>MOLLY'S HOPE</v>
      </c>
      <c r="B46" s="65" t="s">
        <v>234</v>
      </c>
      <c r="C46" s="69" t="s">
        <v>8</v>
      </c>
    </row>
    <row r="47">
      <c r="A47" s="48" t="s">
        <v>235</v>
      </c>
      <c r="B47" s="49" t="s">
        <v>236</v>
      </c>
      <c r="C47" s="69"/>
    </row>
    <row r="48">
      <c r="A48" s="48" t="s">
        <v>237</v>
      </c>
      <c r="B48" s="49" t="s">
        <v>238</v>
      </c>
      <c r="C48" s="69"/>
    </row>
    <row r="49">
      <c r="A49" s="61"/>
      <c r="B49" s="55"/>
      <c r="C49" s="69" t="s">
        <v>8</v>
      </c>
    </row>
    <row r="50">
      <c r="A50" s="45" t="s">
        <v>239</v>
      </c>
      <c r="B50" s="57"/>
      <c r="C50" s="63"/>
    </row>
    <row r="51">
      <c r="A51" s="48" t="str">
        <f>HYPERLINK("http://www.westiemed.org/aid/","WESTIEMED")</f>
        <v>WESTIEMED</v>
      </c>
      <c r="B51" s="49" t="s">
        <v>240</v>
      </c>
      <c r="C51" s="69"/>
    </row>
    <row r="52">
      <c r="A52" s="48" t="str">
        <f>HYPERLINK("https://www.labradorlifeline.org/who-we-are","LABRADOR LIFELINE")</f>
        <v>LABRADOR LIFELINE</v>
      </c>
      <c r="B52" s="49" t="s">
        <v>241</v>
      </c>
      <c r="C52" s="69"/>
    </row>
    <row r="53">
      <c r="A53" s="48" t="s">
        <v>242</v>
      </c>
      <c r="B53" s="49" t="s">
        <v>243</v>
      </c>
      <c r="C53" s="69"/>
    </row>
    <row r="54">
      <c r="A54" s="70"/>
      <c r="B54" s="49"/>
      <c r="C54" s="69"/>
    </row>
    <row r="55">
      <c r="A55" s="45" t="s">
        <v>244</v>
      </c>
      <c r="B55" s="57"/>
      <c r="C55" s="63"/>
    </row>
    <row r="56">
      <c r="A56" s="48" t="str">
        <f>HYPERLINK("https://www.goodrx.com/","GOODRX ")</f>
        <v>GOODRX </v>
      </c>
      <c r="B56" s="49" t="s">
        <v>245</v>
      </c>
      <c r="C56" s="69"/>
    </row>
    <row r="57">
      <c r="A57" s="48" t="str">
        <f>HYPERLINK("https://www.cancercare.org/paw","Cancer Care's PAW Program")</f>
        <v>Cancer Care's PAW Program</v>
      </c>
      <c r="B57" s="49" t="s">
        <v>246</v>
      </c>
      <c r="C57" s="71"/>
    </row>
    <row r="58">
      <c r="A58" s="61"/>
      <c r="B58" s="55"/>
      <c r="C58" s="71" t="s">
        <v>8</v>
      </c>
    </row>
    <row r="59">
      <c r="A59" s="36" t="s">
        <v>247</v>
      </c>
      <c r="B59" s="36" t="s">
        <v>248</v>
      </c>
      <c r="C59" s="36" t="s">
        <v>249</v>
      </c>
    </row>
    <row r="60">
      <c r="A60" s="67" t="str">
        <f>HYPERLINK("https://www.dvm360.com/view/treat-or-euthanize-helping-owners-make-critical-decisions-regarding-pets-with-behavior-problems","DVM: Making Critical Decisions, Behavioral Euthanasia")</f>
        <v>DVM: Making Critical Decisions, Behavioral Euthanasia</v>
      </c>
      <c r="B60" s="67" t="str">
        <f>HYPERLINK("https://vet.osu.edu/vmc/sites/default/files/import/assets/pdf/hospital/companionAnimals/HonoringtheBond/HowDoIKnowWhen.pdf","Knowing When It's Time - Medical Euthanasia")</f>
        <v>Knowing When It's Time - Medical Euthanasia</v>
      </c>
      <c r="C60" s="21" t="str">
        <f>HYPERLINK("https://petlossathome.com/mobile-vet/tennessee/nashville-cat-dog-euthanasia/","Pet Loss at Home ")</f>
        <v>Pet Loss at Home </v>
      </c>
    </row>
    <row r="61">
      <c r="A61" s="67" t="str">
        <f>HYPERLINK("https://vet.osu.edu/vmc/sites/default/files/import/files/documents/pdf/vmc/Behavioral%20Euthanasia%20fact%20sheet.pdf","Ohio State VMC: Considerations for Behavioral Euthanasia")</f>
        <v>Ohio State VMC: Considerations for Behavioral Euthanasia</v>
      </c>
      <c r="B61" s="67" t="str">
        <f>HYPERLINK("https://www.americanhumane.org/fact-sheet/euthanasia-making-the-decision/","What to Expect : Euthanasia")</f>
        <v>What to Expect : Euthanasia</v>
      </c>
      <c r="C61" s="21" t="str">
        <f>HYPERLINK("https://www.lapoflove.com/Locations-Tennessee-Nashville","Lap of Love")</f>
        <v>Lap of Love</v>
      </c>
    </row>
    <row r="62">
      <c r="A62" s="67" t="str">
        <f>HYPERLINK("https://www.facebook.com/groups/losinglulu/","Behavioral Euthanasia Support Group, Facebook")</f>
        <v>Behavioral Euthanasia Support Group, Facebook</v>
      </c>
      <c r="B62" s="67" t="str">
        <f>HYPERLINK("https://www.lapoflove.com/community/Pet-Loss-Support","Directory of Resources for Pet-Loss Support ")</f>
        <v>Directory of Resources for Pet-Loss Support </v>
      </c>
      <c r="C62" s="72"/>
    </row>
    <row r="63">
      <c r="A63" s="73"/>
      <c r="B63" s="73"/>
      <c r="C63" s="74"/>
    </row>
  </sheetData>
  <hyperlinks>
    <hyperlink r:id="rId1" ref="A16"/>
    <hyperlink r:id="rId2" ref="A38"/>
    <hyperlink r:id="rId3" ref="A39"/>
    <hyperlink r:id="rId4" ref="A40"/>
    <hyperlink r:id="rId5" ref="A47"/>
    <hyperlink r:id="rId6" ref="A48"/>
    <hyperlink r:id="rId7" ref="A53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1.71"/>
    <col customWidth="1" min="2" max="3" width="60.0"/>
  </cols>
  <sheetData>
    <row r="1">
      <c r="A1" s="36" t="s">
        <v>250</v>
      </c>
      <c r="B1" s="45"/>
      <c r="C1" s="45" t="s">
        <v>251</v>
      </c>
    </row>
    <row r="2">
      <c r="A2" s="48" t="str">
        <f>HYPERLINK("https://resc-files-71.s3.us-west-1.amazonaws.com/s3fs-public/inline-files/ABCs%20of%20Living%20with%20Dogs%20lowres_0.pdf","ABCs of Living with Dogs")</f>
        <v>ABCs of Living with Dogs</v>
      </c>
      <c r="B2" s="48" t="str">
        <f>HYPERLINK("https://www.ddfl.org/behavior-help/","Dumb Friends League Behavior Helpline")</f>
        <v>Dumb Friends League Behavior Helpline</v>
      </c>
      <c r="C2" s="67" t="str">
        <f>HYPERLINK("https://fearfreehappyhomes.com/","Fear Free Happy Homes")</f>
        <v>Fear Free Happy Homes</v>
      </c>
    </row>
    <row r="3">
      <c r="A3" s="48" t="str">
        <f>HYPERLINK("https://www.aspca.org/pet-care/dog-care","ASPCA: Dog Care ")</f>
        <v>ASPCA: Dog Care </v>
      </c>
      <c r="B3" s="48" t="str">
        <f>HYPERLINK("https://www.ddfl.org/resources-publications/pet-behavior-handouts/","Dumb Friends League Behavioral Library")</f>
        <v>Dumb Friends League Behavioral Library</v>
      </c>
      <c r="C3" s="16" t="str">
        <f>HYPERLINK("https://www.humanesociety.org/resources/nose-tail","Nose-Tail: Humane Education for Kids")</f>
        <v>Nose-Tail: Humane Education for Kids</v>
      </c>
    </row>
    <row r="4">
      <c r="A4" s="48" t="str">
        <f>HYPERLINK("https://resources.bestfriends.org/pet-health/dogs-health","Best Friends: Dog Health")</f>
        <v>Best Friends: Dog Health</v>
      </c>
      <c r="B4" s="48" t="str">
        <f>HYPERLINK("https://maddiespetforum.org/","Maddies Pet Forum")</f>
        <v>Maddies Pet Forum</v>
      </c>
      <c r="C4" s="21" t="str">
        <f>HYPERLINK("https://redrover.org/readers/","Red Rover: Teaching Kids Empathy for Animals ")</f>
        <v>Red Rover: Teaching Kids Empathy for Animals </v>
      </c>
    </row>
    <row r="5">
      <c r="A5" s="48" t="str">
        <f>HYPERLINK("https://resources.bestfriends.org/pet-training/dog-training","Best Friends: Dog Training and Care")</f>
        <v>Best Friends: Dog Training and Care</v>
      </c>
      <c r="B5" s="48" t="str">
        <f>HYPERLINK("https://www.thesprucepets.com/dogs-4162034","Spruce Pets: Dog Care and More")</f>
        <v>Spruce Pets: Dog Care and More</v>
      </c>
      <c r="C5" s="67" t="s">
        <v>252</v>
      </c>
    </row>
    <row r="6">
      <c r="A6" s="48" t="str">
        <f>HYPERLINK("http://www.drjensdogblog.com/","Dr. Jen's Blog: Behavior and Training")</f>
        <v>Dr. Jen's Blog: Behavior and Training</v>
      </c>
      <c r="B6" s="75" t="s">
        <v>8</v>
      </c>
      <c r="C6" s="76"/>
    </row>
    <row r="7">
      <c r="A7" s="70"/>
      <c r="B7" s="76"/>
      <c r="C7" s="21"/>
    </row>
    <row r="8">
      <c r="A8" s="36" t="s">
        <v>253</v>
      </c>
      <c r="B8" s="45" t="s">
        <v>254</v>
      </c>
      <c r="C8" s="45" t="s">
        <v>255</v>
      </c>
    </row>
    <row r="9">
      <c r="A9" s="48" t="str">
        <f>HYPERLINK("https://www.aspca.org/pet-care/dog-care/common-dog-diseases","Common Dog Diseases ")</f>
        <v>Common Dog Diseases </v>
      </c>
      <c r="B9" s="48" t="str">
        <f>HYPERLINK("https://www.aspca.org/pet-care/dog-care/dog-grooming-tips","Basic Dog Grooming Tips")</f>
        <v>Basic Dog Grooming Tips</v>
      </c>
      <c r="C9" s="48" t="str">
        <f>HYPERLINK("https://www.ddfl.org/news/blind-pet-care/","Caring for a Blind Pet")</f>
        <v>Caring for a Blind Pet</v>
      </c>
    </row>
    <row r="10">
      <c r="A10" s="48" t="str">
        <f>HYPERLINK("https://www.petmd.com/dog/care/dog-vaccinations-for-every-lifestage","What's Needed? Vaccination 101")</f>
        <v>What's Needed? Vaccination 101</v>
      </c>
      <c r="B10" s="48" t="str">
        <f>HYPERLINK("https://www.akc.org/expert-advice/health/how-to-trim-dogs-nails-safely/","Trimming Your Dog's Nails Safely ")</f>
        <v>Trimming Your Dog's Nails Safely </v>
      </c>
      <c r="C10" s="48" t="str">
        <f>HYPERLINK("https://resources.bestfriends.org/article/faqs-about-dogs-wheelchairs-and-carts","Tripod Tips ")</f>
        <v>Tripod Tips </v>
      </c>
    </row>
    <row r="11">
      <c r="A11" s="48" t="str">
        <f>HYPERLINK("https://www.petmd.com/dog/parasites/what-are-options-heartworm-prevention-dogs","Heartworm Prevention: Options!")</f>
        <v>Heartworm Prevention: Options!</v>
      </c>
      <c r="B11" s="48" t="str">
        <f>HYPERLINK("https://www.petmd.com/dog/grooming/nailed-it-5-tips-stress-free-dog-nail-trims","5 Tips for Stress-Free Nail Trimming ")</f>
        <v>5 Tips for Stress-Free Nail Trimming </v>
      </c>
      <c r="C11" s="48" t="str">
        <f>HYPERLINK("https://resources.bestfriends.org/article/faqs-about-dogs-wheelchairs-and-carts","Dogs in Wheelchairs and Carts FAQ")</f>
        <v>Dogs in Wheelchairs and Carts FAQ</v>
      </c>
    </row>
    <row r="12">
      <c r="A12" s="48" t="str">
        <f>HYPERLINK("https://www.petmd.com/dog/parasites/evr_multi_types_of_flea_tick_control_products","Flea and Tick Prevention: Options!")</f>
        <v>Flea and Tick Prevention: Options!</v>
      </c>
      <c r="B12" s="48" t="s">
        <v>256</v>
      </c>
      <c r="C12" s="77" t="s">
        <v>8</v>
      </c>
    </row>
    <row r="13">
      <c r="A13" s="48" t="str">
        <f>HYPERLINK("https://resources.bestfriends.org/article/how-find-good-vet","Finding a Great Vet!")</f>
        <v>Finding a Great Vet!</v>
      </c>
      <c r="B13" s="78" t="s">
        <v>8</v>
      </c>
      <c r="C13" s="70"/>
    </row>
    <row r="14">
      <c r="A14" s="48" t="str">
        <f>HYPERLINK("http://www.drjensdogblog.com/white-coats-and-doctors-and-needles-oh-my-making-vet-visits-fun-and-easy/","White Coats and Needles: Making Vet Visits Fun")</f>
        <v>White Coats and Needles: Making Vet Visits Fun</v>
      </c>
      <c r="B14" s="78"/>
      <c r="C14" s="70"/>
    </row>
    <row r="15">
      <c r="A15" s="10" t="s">
        <v>257</v>
      </c>
      <c r="B15" s="79"/>
      <c r="C15" s="80"/>
    </row>
    <row r="16">
      <c r="A16" s="80"/>
      <c r="B16" s="79"/>
      <c r="C16" s="80"/>
    </row>
    <row r="17">
      <c r="A17" s="24" t="s">
        <v>258</v>
      </c>
      <c r="B17" s="24" t="s">
        <v>259</v>
      </c>
      <c r="C17" s="24" t="s">
        <v>260</v>
      </c>
    </row>
    <row r="18">
      <c r="A18" s="67" t="str">
        <f>HYPERLINK("https://www.ddfl.org/resource/introducing-your-new-dog-to-your-resident-dog/","Introducing Your New Dog to Your Resident Dog")</f>
        <v>Introducing Your New Dog to Your Resident Dog</v>
      </c>
      <c r="B18" s="67" t="str">
        <f>HYPERLINK("http://www.americanhumane.org/fact-sheet/introducing-dogs-to-cats/","Matching Cats and Dogs")</f>
        <v>Matching Cats and Dogs</v>
      </c>
      <c r="C18" s="81" t="str">
        <f>HYPERLINK("https://resources.bestfriends.org/article/dog-safety-staying-safe-around-dogs","Safety Around Dogs")</f>
        <v>Safety Around Dogs</v>
      </c>
    </row>
    <row r="19">
      <c r="A19" s="67" t="str">
        <f>HYPERLINK("https://resources.bestfriends.org/article/introducing-dogs-each-other","Introducing Dogs to Dogs")</f>
        <v>Introducing Dogs to Dogs</v>
      </c>
      <c r="B19" s="67" t="str">
        <f>HYPERLINK("https://resources.bestfriends.org/article/how-introduce-dog-cat","Introducing Dogs to Cats")</f>
        <v>Introducing Dogs to Cats</v>
      </c>
      <c r="C19" s="67" t="str">
        <f>HYPERLINK("https://www.aspca.org/pet-care/dog-care/dogs-and-babies","Prepping Your Dog for A Baby")</f>
        <v>Prepping Your Dog for A Baby</v>
      </c>
    </row>
    <row r="20">
      <c r="A20" s="67" t="str">
        <f>HYPERLINK("https://www.ddfl.org/resource/canine-rivalry/","Understanding Canine Rivalry")</f>
        <v>Understanding Canine Rivalry</v>
      </c>
      <c r="B20" s="67" t="str">
        <f>HYPERLINK("https://www.animalhumanesociety.org/behavior/how-introduce-dog-and-cat","How to Introduce Dogs and Cats")</f>
        <v>How to Introduce Dogs and Cats</v>
      </c>
      <c r="C20" s="67" t="str">
        <f>HYPERLINK("https://www.paws.org/library/pet-info/pet-care/pets-and-babies/","Prepping Your Pet for a Baby, Continued")</f>
        <v>Prepping Your Pet for a Baby, Continued</v>
      </c>
    </row>
    <row r="21">
      <c r="A21" s="67" t="str">
        <f>HYPERLINK("https://journeydogtraining.com/dog-sibling-rivalry/","Curbing Canine and Sibling Rivalry")</f>
        <v>Curbing Canine and Sibling Rivalry</v>
      </c>
      <c r="B21" s="67" t="str">
        <f>HYPERLINK("https://www.clickertraining.com/node/1687 ","Can Cats and Dogs Be Friends?")</f>
        <v>Can Cats and Dogs Be Friends?</v>
      </c>
      <c r="C21" s="67" t="str">
        <f>HYPERLINK("https://www.ddfl.org/resource/children-and-dogs-important-information-for-parents/","Children and Dogs : Important Information for Parents")</f>
        <v>Children and Dogs : Important Information for Parents</v>
      </c>
    </row>
    <row r="22">
      <c r="A22" s="67" t="str">
        <f>HYPERLINK("https://wagwalking.com/training/get-along-with-a-small-dog","Big Dogs and Small Dogs: Coexisting")</f>
        <v>Big Dogs and Small Dogs: Coexisting</v>
      </c>
      <c r="B22" s="21" t="str">
        <f>HYPERLINK("https://resources.bestfriends.org/article/dog-chasing-cat-tips-stopping-behavior","Dogs Chasing Cats")</f>
        <v>Dogs Chasing Cats</v>
      </c>
      <c r="C22" s="67" t="str">
        <f>HYPERLINK("https://drsophiayin.com/blog/entry/kids-and-dogs-how-kids-should-and-should-not-interact-with-dogs/","A Visual Guide to Children and Dogs ")</f>
        <v>A Visual Guide to Children and Dogs </v>
      </c>
    </row>
    <row r="23">
      <c r="A23" s="67" t="str">
        <f>HYPERLINK("https://smartdoguniversity.com/4508-2/","Puppies and Seniors: Coexisting")</f>
        <v>Puppies and Seniors: Coexisting</v>
      </c>
      <c r="B23" s="67" t="str">
        <f>HYPERLINK("https://www.petmd.com/blogs/thedailyvet/lhuston/2012/mar/introduce_new_puppy_to_cat-13443","Puppies and Cats")</f>
        <v>Puppies and Cats</v>
      </c>
      <c r="C23" s="31" t="s">
        <v>261</v>
      </c>
    </row>
    <row r="24">
      <c r="A24" s="67" t="str">
        <f>HYPERLINK("http://www.dogstokevin.com/blog/how-to-get-your-senior-dog-and-new-puppy-to-coexist","Puppies and Seniors, Continued")</f>
        <v>Puppies and Seniors, Continued</v>
      </c>
      <c r="B24" s="67"/>
      <c r="C24" s="67"/>
    </row>
    <row r="25">
      <c r="A25" s="81" t="str">
        <f>HYPERLINK("https://www.whole-dog-journal.com/care/multi-dog-households/how-to-manage-a-multi-dog-household/","Managing a Multi-Dog Household")</f>
        <v>Managing a Multi-Dog Household</v>
      </c>
      <c r="B25" s="82"/>
      <c r="C25" s="67"/>
    </row>
    <row r="26">
      <c r="A26" s="83" t="s">
        <v>262</v>
      </c>
      <c r="B26" s="79"/>
      <c r="C26" s="80"/>
    </row>
    <row r="27">
      <c r="A27" s="31" t="s">
        <v>263</v>
      </c>
      <c r="B27" s="79"/>
      <c r="C27" s="80"/>
    </row>
    <row r="28">
      <c r="A28" s="80"/>
      <c r="B28" s="79"/>
      <c r="C28" s="80"/>
    </row>
    <row r="29">
      <c r="A29" s="84" t="s">
        <v>264</v>
      </c>
      <c r="B29" s="36" t="s">
        <v>265</v>
      </c>
      <c r="C29" s="84" t="s">
        <v>266</v>
      </c>
    </row>
    <row r="30">
      <c r="A30" s="67" t="str">
        <f>HYPERLINK("https://resources.bestfriends.org/article/dog-socialization-tips-and-checklists","Socialization Checklist")</f>
        <v>Socialization Checklist</v>
      </c>
      <c r="B30" s="31" t="s">
        <v>267</v>
      </c>
      <c r="C30" s="67" t="str">
        <f>HYPERLINK("https://www.thesprucepets.com/steps-to-train-your-dog-1118273","Dog Training 101")</f>
        <v>Dog Training 101</v>
      </c>
    </row>
    <row r="31">
      <c r="A31" s="67" t="str">
        <f>HYPERLINK("https://resources.bestfriends.org/article/fun-things-do-your-dog","Things to Do With Your Dog")</f>
        <v>Things to Do With Your Dog</v>
      </c>
      <c r="B31" s="31" t="s">
        <v>268</v>
      </c>
      <c r="C31" s="67" t="str">
        <f>HYPERLINK("https://resources.bestfriends.org/article/relationship-based-dog-training-benefits","The Benefits of Force-Free Relationship-Based Training")</f>
        <v>The Benefits of Force-Free Relationship-Based Training</v>
      </c>
    </row>
    <row r="32">
      <c r="A32" s="67" t="s">
        <v>269</v>
      </c>
      <c r="B32" s="67" t="str">
        <f>HYPERLINK("https://www.pawmaw.com/blog/dog-body-language","Understanding Dog Body Language")</f>
        <v>Understanding Dog Body Language</v>
      </c>
      <c r="C32" s="67" t="s">
        <v>270</v>
      </c>
    </row>
    <row r="33">
      <c r="A33" s="67" t="str">
        <f>HYPERLINK("https://www.dogpossibleaustin.com/enrichment-and-behavior/","The 7 Types of Enrichment")</f>
        <v>The 7 Types of Enrichment</v>
      </c>
      <c r="B33" s="31" t="s">
        <v>271</v>
      </c>
      <c r="C33" s="67" t="str">
        <f>HYPERLINK("https://www.petprofessionalguild.com/Training-Resources-for-Pet-Owners","Debunking Dominance and Shock Training")</f>
        <v>Debunking Dominance and Shock Training</v>
      </c>
    </row>
    <row r="34">
      <c r="A34" s="67" t="s">
        <v>272</v>
      </c>
      <c r="B34" s="67" t="str">
        <f>HYPERLINK("https://grishastewart.com/BAT-basics.pdf","BAT: Behavior Adjustment Training (Threshold Work) ")</f>
        <v>BAT: Behavior Adjustment Training (Threshold Work) </v>
      </c>
      <c r="C34" s="21" t="str">
        <f>HYPERLINK("https://smartdoguniversity.com/secrets-dog-training-success-redirect-substitute-reward/","How To: Redirect, Substitute, Reward")</f>
        <v>How To: Redirect, Substitute, Reward</v>
      </c>
    </row>
    <row r="35">
      <c r="A35" s="67" t="str">
        <f>HYPERLINK("https://www.thelabradorsite.com/mental-stimulation-for-dogs/","Mental Enrichment, Continued")</f>
        <v>Mental Enrichment, Continued</v>
      </c>
      <c r="B35" s="67" t="str">
        <f>HYPERLINK("https://www.clickertraining.com/node/1642","Types of Rewards and How to Reward")</f>
        <v>Types of Rewards and How to Reward</v>
      </c>
      <c r="C35" s="48" t="s">
        <v>273</v>
      </c>
    </row>
    <row r="36">
      <c r="A36" s="67" t="str">
        <f>HYPERLINK("https://journeydogtraining.com/nosework/","Nose Work: Benefits and Games")</f>
        <v>Nose Work: Benefits and Games</v>
      </c>
      <c r="B36" s="67" t="str">
        <f>HYPERLINK("https://journeydogtraining.com/shaping-using-successive-approximations/","Shaping, Luring and Capturing")</f>
        <v>Shaping, Luring and Capturing</v>
      </c>
      <c r="C36" s="31" t="s">
        <v>274</v>
      </c>
    </row>
    <row r="37">
      <c r="A37" s="67" t="str">
        <f>HYPERLINK("https://resources.bestfriends.org/article/dog-nose-work-scent-training-sport-dogs","Nosework and Scent Training")</f>
        <v>Nosework and Scent Training</v>
      </c>
      <c r="B37" s="31" t="s">
        <v>275</v>
      </c>
      <c r="C37" s="31" t="s">
        <v>276</v>
      </c>
    </row>
    <row r="38">
      <c r="A38" s="67" t="str">
        <f>HYPERLINK("http://barkercise.com/12-scenting-and-tracking-nose-games-for-dogs/","12 Scent Games for Dogs")</f>
        <v>12 Scent Games for Dogs</v>
      </c>
      <c r="B38" s="31" t="s">
        <v>277</v>
      </c>
      <c r="C38" s="67" t="s">
        <v>278</v>
      </c>
    </row>
    <row r="39">
      <c r="A39" s="67" t="str">
        <f>HYPERLINK("https://www.k9ofmine.com/best-games-to-play-with-dog/","22 Games to Play With Your Dog")</f>
        <v>22 Games to Play With Your Dog</v>
      </c>
      <c r="B39" s="31"/>
      <c r="C39" s="80"/>
    </row>
    <row r="40">
      <c r="A40" s="67" t="str">
        <f>HYPERLINK("https://www.ddfl.org/resource/dog-toys-and-how-to-use-them/","Dog Toys and How to Use Them")</f>
        <v>Dog Toys and How to Use Them</v>
      </c>
      <c r="B40" s="31"/>
      <c r="C40" s="80"/>
    </row>
    <row r="41">
      <c r="A41" s="31" t="s">
        <v>279</v>
      </c>
      <c r="B41" s="80"/>
      <c r="C41" s="67"/>
    </row>
    <row r="42">
      <c r="A42" s="31" t="s">
        <v>280</v>
      </c>
      <c r="B42" s="80"/>
      <c r="C42" s="67"/>
    </row>
    <row r="43">
      <c r="A43" s="31" t="s">
        <v>281</v>
      </c>
      <c r="B43" s="80"/>
      <c r="C43" s="67"/>
    </row>
    <row r="44">
      <c r="A44" s="31" t="s">
        <v>282</v>
      </c>
      <c r="B44" s="80"/>
      <c r="C44" s="67"/>
    </row>
    <row r="45">
      <c r="A45" s="67"/>
      <c r="B45" s="80"/>
      <c r="C45" s="67"/>
    </row>
    <row r="46">
      <c r="A46" s="24" t="s">
        <v>283</v>
      </c>
      <c r="B46" s="24"/>
      <c r="C46" s="24"/>
    </row>
    <row r="47">
      <c r="A47" s="31" t="s">
        <v>284</v>
      </c>
      <c r="B47" s="31" t="s">
        <v>285</v>
      </c>
      <c r="C47" s="67" t="s">
        <v>286</v>
      </c>
    </row>
    <row r="48">
      <c r="A48" s="31" t="s">
        <v>287</v>
      </c>
      <c r="B48" s="31" t="s">
        <v>288</v>
      </c>
      <c r="C48" s="67" t="s">
        <v>289</v>
      </c>
    </row>
    <row r="49">
      <c r="A49" s="31" t="s">
        <v>290</v>
      </c>
      <c r="B49" s="31" t="s">
        <v>291</v>
      </c>
      <c r="C49" s="31" t="s">
        <v>292</v>
      </c>
    </row>
    <row r="50">
      <c r="A50" s="67"/>
      <c r="B50" s="80"/>
      <c r="C50" s="67"/>
    </row>
    <row r="51">
      <c r="A51" s="24" t="s">
        <v>293</v>
      </c>
      <c r="B51" s="24" t="s">
        <v>294</v>
      </c>
      <c r="C51" s="24" t="s">
        <v>295</v>
      </c>
    </row>
    <row r="52">
      <c r="A52" s="67" t="str">
        <f>HYPERLINK("https://www.ddfl.org/resource/crate-training-your-dog/","Crate Training 101")</f>
        <v>Crate Training 101</v>
      </c>
      <c r="B52" s="31" t="s">
        <v>296</v>
      </c>
      <c r="C52" s="67" t="str">
        <f>HYPERLINK("https://www.ddfl.org/resource/the-fearful-dog/","The Fearful Dog ")</f>
        <v>The Fearful Dog </v>
      </c>
    </row>
    <row r="53">
      <c r="A53" s="31" t="s">
        <v>297</v>
      </c>
      <c r="B53" s="67" t="str">
        <f>HYPERLINK("http://www.drjensdogblog.com/solutions-for-separation-anxiety-how-to-make-alone-time-less-scary/","Making Alone Time Less Scary - Dr. Jen")</f>
        <v>Making Alone Time Less Scary - Dr. Jen</v>
      </c>
      <c r="C53" s="81" t="str">
        <f>HYPERLINK("https://resources.bestfriends.org/article/building-confidence-dogs","Building Confidence in Dogs")</f>
        <v>Building Confidence in Dogs</v>
      </c>
    </row>
    <row r="54">
      <c r="A54" s="67" t="str">
        <f>HYPERLINK("https://www.ddfl.org/resource/housetraining-a-puppy/", "Housetraining 101")</f>
        <v>Housetraining 101</v>
      </c>
      <c r="B54" s="81" t="str">
        <f>HYPERLINK("https://vcahospitals.com/know-your-pet/separation-anxiety-in-dogs","Managing Separation Anxiety")</f>
        <v>Managing Separation Anxiety</v>
      </c>
      <c r="C54" s="67" t="str">
        <f>HYPERLINK("https://resources.bestfriends.org/article/how-help-dog-sensitive-touch","Helping a Dog Sensitive to Touch")</f>
        <v>Helping a Dog Sensitive to Touch</v>
      </c>
    </row>
    <row r="55">
      <c r="A55" s="67" t="s">
        <v>298</v>
      </c>
      <c r="B55" s="67" t="str">
        <f>HYPERLINK("https://www.aspca.org/pet-care/dog-care/common-dog-behavior-issues/separation-anxiety","Managing Separation Anxiety, Continued")</f>
        <v>Managing Separation Anxiety, Continued</v>
      </c>
      <c r="C55" s="67" t="str">
        <f>HYPERLINK("https://pets.webmd.com/dogs/guide/compulsive-behavior-dogs","Compulsive Behavior in Dogs")</f>
        <v>Compulsive Behavior in Dogs</v>
      </c>
    </row>
    <row r="56">
      <c r="A56" s="31" t="s">
        <v>299</v>
      </c>
      <c r="B56" s="67" t="str">
        <f>HYPERLINK("https://www.aspca.org/pet-care/dog-care/common-dog-behavior-issues/barking","Barking in Dogs")</f>
        <v>Barking in Dogs</v>
      </c>
      <c r="C56" s="31" t="s">
        <v>300</v>
      </c>
    </row>
    <row r="57">
      <c r="A57" s="67" t="str">
        <f>HYPERLINK("https://www.ddfl.org/resource/marking-behavior-in-dogs/","Marking Behavior in Dogs")</f>
        <v>Marking Behavior in Dogs</v>
      </c>
      <c r="B57" s="67" t="str">
        <f>HYPERLINK("https://www.aspca.org/pet-care/dog-care/common-dog-behavior-issues/howling","Howling in Dogs")</f>
        <v>Howling in Dogs</v>
      </c>
      <c r="C57" s="31" t="s">
        <v>301</v>
      </c>
    </row>
    <row r="58">
      <c r="A58" s="67" t="str">
        <f>HYPERLINK("https://www.ddfl.org/resource/fearful-and-excitement-urination/","Fearful and Excited Urination")</f>
        <v>Fearful and Excited Urination</v>
      </c>
      <c r="B58" s="67" t="str">
        <f>HYPERLINK("https://www.aspca.org/pet-care/dog-care/common-dog-behavior-issues/whining","Whining in Dogs")</f>
        <v>Whining in Dogs</v>
      </c>
      <c r="C58" s="31" t="s">
        <v>302</v>
      </c>
    </row>
    <row r="59">
      <c r="A59" s="31" t="s">
        <v>303</v>
      </c>
      <c r="B59" s="31" t="s">
        <v>304</v>
      </c>
      <c r="C59" s="85"/>
    </row>
    <row r="60">
      <c r="A60" s="67"/>
      <c r="B60" s="67"/>
      <c r="C60" s="86"/>
    </row>
    <row r="61">
      <c r="A61" s="84" t="s">
        <v>305</v>
      </c>
      <c r="B61" s="84" t="s">
        <v>306</v>
      </c>
      <c r="C61" s="24" t="s">
        <v>307</v>
      </c>
    </row>
    <row r="62">
      <c r="A62" s="21" t="str">
        <f>HYPERLINK("https://www.ddfl.org/resource/the-canine-escape-artist/","Understanding the Escape Artist")</f>
        <v>Understanding the Escape Artist</v>
      </c>
      <c r="B62" s="21" t="str">
        <f>HYPERLINK("https://www.rover.com/blog/amazing-tools-lost-dogs/","GPS Collars and Tags")</f>
        <v>GPS Collars and Tags</v>
      </c>
      <c r="C62" s="10" t="s">
        <v>257</v>
      </c>
    </row>
    <row r="63">
      <c r="A63" s="21" t="str">
        <f>HYPERLINK("https://resources.bestfriends.org/article/dog-escapes-how-keep-dogs-getting-away","Escape Artists: How to Keep Your Dog From Getting Away")</f>
        <v>Escape Artists: How to Keep Your Dog From Getting Away</v>
      </c>
      <c r="B63" s="31" t="s">
        <v>308</v>
      </c>
      <c r="C63" s="80"/>
    </row>
    <row r="64">
      <c r="A64" s="21" t="str">
        <f>HYPERLINK("https://resources.bestfriends.org/article/dog-proof-fence-ideas-and-options","How to Dog-Proof Your Fence ")</f>
        <v>How to Dog-Proof Your Fence </v>
      </c>
      <c r="B64" s="87" t="str">
        <f>HYPERLINK("https://www.habitatforpaws.org/request-services","Need a Dog House or Fencing? Call Habitat for Paws 615-828-1206")</f>
        <v>Need a Dog House or Fencing? Call Habitat for Paws 615-828-1206</v>
      </c>
      <c r="C64" s="80"/>
    </row>
    <row r="65">
      <c r="A65" s="27" t="s">
        <v>309</v>
      </c>
      <c r="B65" s="88" t="str">
        <f>HYPERLINK("https://yarddogfenceofnashville.com/?gclid=CjwKCAiAwZTuBRAYEiwAcr67OeSiR1j9nrRZeMgVl-6HgjxOOeIqQ0preg4aJBUpWjwE50MmY02j7BoCVGQQAvD_BwE","Yard Dog Fencing Co. - Discounted for Pet Owners and Military in Nashville, TN")</f>
        <v>Yard Dog Fencing Co. - Discounted for Pet Owners and Military in Nashville, TN</v>
      </c>
      <c r="C65" s="80"/>
    </row>
    <row r="66">
      <c r="A66" s="21" t="s">
        <v>310</v>
      </c>
      <c r="B66" s="10"/>
      <c r="C66" s="80"/>
    </row>
    <row r="67">
      <c r="A67" s="67" t="str">
        <f>HYPERLINK("https://www.ddfl.org/resource/how-to-solve-digging-problems/","Solving Digging Problems")</f>
        <v>Solving Digging Problems</v>
      </c>
      <c r="B67" s="80"/>
      <c r="C67" s="80"/>
    </row>
    <row r="68">
      <c r="A68" s="79"/>
      <c r="B68" s="80"/>
      <c r="C68" s="80"/>
    </row>
    <row r="69">
      <c r="A69" s="24" t="s">
        <v>311</v>
      </c>
      <c r="B69" s="24" t="s">
        <v>312</v>
      </c>
      <c r="C69" s="24" t="s">
        <v>313</v>
      </c>
    </row>
    <row r="70">
      <c r="A70" s="67" t="str">
        <f>HYPERLINK("https://pethelpful.com/dogs/Understanding-Dog-Arousal-Problems","Managing Dog Arousal ")</f>
        <v>Managing Dog Arousal </v>
      </c>
      <c r="B70" s="67" t="str">
        <f>HYPERLINK("https://www.ddfl.org/resource/understanding-reactivity-in-dogs/","Understanding Reactivity in Dogs")</f>
        <v>Understanding Reactivity in Dogs</v>
      </c>
      <c r="C70" s="31" t="s">
        <v>314</v>
      </c>
    </row>
    <row r="71">
      <c r="A71" s="67" t="str">
        <f>HYPERLINK("https://www.thesprucepets.com/why-do-dogs-hump-1118299","Why Do Dogs Hump and How to Stop It")</f>
        <v>Why Do Dogs Hump and How to Stop It</v>
      </c>
      <c r="B71" s="31" t="s">
        <v>315</v>
      </c>
      <c r="C71" s="67" t="str">
        <f>HYPERLINK("https://resources.bestfriends.org/article/how-teach-dog-trade","How to Teach a Dog to Trade")</f>
        <v>How to Teach a Dog to Trade</v>
      </c>
    </row>
    <row r="72">
      <c r="A72" s="67" t="str">
        <f>HYPERLINK("https://www.aspca.org/pet-care/dog-care/common-dog-behavior-issues/mounting-and-masturbation","Mounting and Masturbation")</f>
        <v>Mounting and Masturbation</v>
      </c>
      <c r="B72" s="67" t="str">
        <f>HYPERLINK("https://www.animalhumanesociety.org/behavior/managing-leash-reactive-dog","Managing Leash Reactivity")</f>
        <v>Managing Leash Reactivity</v>
      </c>
      <c r="C72" s="67" t="s">
        <v>316</v>
      </c>
    </row>
    <row r="73">
      <c r="A73" s="67" t="str">
        <f>HYPERLINK("https://www.aspca.org/pet-care/dog-care/common-dog-behavior-issues/destructive-chewing","Destructive Chewing")</f>
        <v>Destructive Chewing</v>
      </c>
      <c r="B73" s="81" t="str">
        <f>HYPERLINK("https://www.youtube.com/watch?v=8bkAzgqKRyk","Video: Calming Dogs Who Lunge on Leash")</f>
        <v>Video: Calming Dogs Who Lunge on Leash</v>
      </c>
      <c r="C73" s="67" t="s">
        <v>317</v>
      </c>
    </row>
    <row r="74">
      <c r="A74" s="67" t="str">
        <f>HYPERLINK("https://www.ddfl.org/resource/dealing-with-normal-puppy-behavior-chewing/","Managing Puppy Chewing ")</f>
        <v>Managing Puppy Chewing </v>
      </c>
      <c r="B74" s="81" t="str">
        <f>HYPERLINK("http://www.vetstreet.com/our-pet-experts/3-common-leash-problems-solved-pulling-mouthing-lunging","Solutions to Pulling, Mouthing, Lunging")</f>
        <v>Solutions to Pulling, Mouthing, Lunging</v>
      </c>
      <c r="C74" s="67" t="str">
        <f>HYPERLINK("https://www.aspca.org/pet-care/dog-care/common-dog-behavior-issues/food-guarding","Managing Food Guarding")</f>
        <v>Managing Food Guarding</v>
      </c>
    </row>
    <row r="75">
      <c r="A75" s="67" t="str">
        <f>HYPERLINK("https://www.aspca.org/pet-care/dog-care/common-dog-behavior-issues/mouthing-nipping-and-play-biting-adult-dogs","Mouthing, Nipping and Play Biting: Dogs")</f>
        <v>Mouthing, Nipping and Play Biting: Dogs</v>
      </c>
      <c r="B75" s="67" t="str">
        <f>HYPERLINK("https://www.facebook.com/groups/1106588519404354/","Support Group for Aggressive and Reactive Dogs, Facebook ")</f>
        <v>Support Group for Aggressive and Reactive Dogs, Facebook </v>
      </c>
      <c r="C75" s="67" t="str">
        <f>HYPERLINK("https://muzzleupproject.com/","The Muzzle Up Project")</f>
        <v>The Muzzle Up Project</v>
      </c>
    </row>
    <row r="76">
      <c r="A76" s="67" t="str">
        <f>HYPERLINK("https://www.aspca.org/pet-care/dog-care/common-dog-behavior-issues/mouthing-nipping-and-biting-puppies","Mouthing, Nipping, Play Biting: Puppies")</f>
        <v>Mouthing, Nipping, Play Biting: Puppies</v>
      </c>
      <c r="B76" s="31" t="s">
        <v>275</v>
      </c>
      <c r="C76" s="67" t="str">
        <f>HYPERLINK("https://resources.bestfriends.org/article/muzzle-training-dog-training-plan","Muzzle Training Plan")</f>
        <v>Muzzle Training Plan</v>
      </c>
    </row>
    <row r="77">
      <c r="A77" s="67" t="str">
        <f>HYPERLINK("https://www.thesprucepets.com/how-to-stop-jumping-in-dogs-1117873","How to Stop Jumping in Dogs")</f>
        <v>How to Stop Jumping in Dogs</v>
      </c>
      <c r="B77" s="31" t="s">
        <v>318</v>
      </c>
      <c r="C77" s="31" t="s">
        <v>319</v>
      </c>
    </row>
    <row r="78">
      <c r="A78" s="10" t="s">
        <v>320</v>
      </c>
      <c r="B78" s="31" t="s">
        <v>321</v>
      </c>
      <c r="C78" s="31" t="s">
        <v>322</v>
      </c>
    </row>
    <row r="79">
      <c r="A79" s="67" t="str">
        <f>HYPERLINK("https://resources.bestfriends.org/article/dog-counter-surfing-prevention-and-deterrents?gclid=Cj0KCQjwj7v0BRDOARIsAGh37ip3O0L7CElEq8kHwzaJOeOTWthiP4Kt6z1xu_glUhqDlUuDW4p0IboaAoFGEALw_wcB","Counter Surfing ")</f>
        <v>Counter Surfing </v>
      </c>
      <c r="B79" s="31" t="s">
        <v>323</v>
      </c>
      <c r="C79" s="67" t="str">
        <f>HYPERLINK("https://vcahospitals.com/know-your-pet/head-halter-training-for-dogs","Head-Halter Training")</f>
        <v>Head-Halter Training</v>
      </c>
    </row>
    <row r="80">
      <c r="A80" s="31" t="s">
        <v>324</v>
      </c>
      <c r="B80" s="31" t="s">
        <v>325</v>
      </c>
      <c r="C80" s="80"/>
    </row>
    <row r="81">
      <c r="A81" s="89" t="s">
        <v>8</v>
      </c>
      <c r="B81" s="31" t="s">
        <v>326</v>
      </c>
      <c r="C81" s="80"/>
    </row>
    <row r="82">
      <c r="A82" s="89"/>
      <c r="B82" s="31" t="s">
        <v>327</v>
      </c>
      <c r="C82" s="80"/>
    </row>
    <row r="83">
      <c r="A83" s="89"/>
      <c r="B83" s="31" t="s">
        <v>328</v>
      </c>
      <c r="C83" s="80"/>
    </row>
    <row r="84">
      <c r="A84" s="89"/>
      <c r="B84" s="89"/>
      <c r="C84" s="80"/>
    </row>
    <row r="85">
      <c r="A85" s="24" t="s">
        <v>329</v>
      </c>
      <c r="B85" s="24" t="s">
        <v>330</v>
      </c>
      <c r="C85" s="84" t="s">
        <v>247</v>
      </c>
    </row>
    <row r="86">
      <c r="A86" s="31" t="s">
        <v>331</v>
      </c>
      <c r="B86" s="31" t="s">
        <v>332</v>
      </c>
      <c r="C86" s="67" t="str">
        <f>HYPERLINK("https://www.dvm360.com/view/treat-or-euthanize-helping-owners-make-critical-decisions-regarding-pets-with-behavior-problems","DVM: Making Critical Decisions, Behavioral Euthanasia")</f>
        <v>DVM: Making Critical Decisions, Behavioral Euthanasia</v>
      </c>
    </row>
    <row r="87">
      <c r="A87" s="67" t="str">
        <f>HYPERLINK("https://www.aspca.org/pet-care/dog-care/common-dog-behavior-issues/aggression","Understanding Aggression in Dogs")</f>
        <v>Understanding Aggression in Dogs</v>
      </c>
      <c r="B87" s="31" t="s">
        <v>333</v>
      </c>
      <c r="C87" s="67" t="str">
        <f>HYPERLINK("https://vet.osu.edu/vmc/sites/default/files/import/files/documents/pdf/vmc/Behavioral%20Euthanasia%20fact%20sheet.pdf","Ohio State VMC: Considerations for Behavioral Euthanasia")</f>
        <v>Ohio State VMC: Considerations for Behavioral Euthanasia</v>
      </c>
    </row>
    <row r="88">
      <c r="A88" s="67" t="str">
        <f>HYPERLINK("https://resources.bestfriends.org/article/dog-bites-how-manage-dog-willing-bite","How to Manage a Dog Willing to Bite")</f>
        <v>How to Manage a Dog Willing to Bite</v>
      </c>
      <c r="B88" s="31" t="s">
        <v>334</v>
      </c>
      <c r="C88" s="67" t="str">
        <f>HYPERLINK("https://www.facebook.com/groups/losinglulu/","Behavioral Euthanasia Support Group, Facebook")</f>
        <v>Behavioral Euthanasia Support Group, Facebook</v>
      </c>
    </row>
    <row r="89">
      <c r="A89" s="67" t="str">
        <f>HYPERLINK("http://www.drjensdogblog.com/biting-the-hand-that-feeds-dealing-with-owner-directed-aggression/","Understanding Owner-Related Aggression")</f>
        <v>Understanding Owner-Related Aggression</v>
      </c>
      <c r="B89" s="27" t="s">
        <v>335</v>
      </c>
      <c r="C89" s="27" t="s">
        <v>336</v>
      </c>
    </row>
    <row r="90">
      <c r="A90" s="31" t="s">
        <v>337</v>
      </c>
      <c r="B90" s="30" t="s">
        <v>338</v>
      </c>
      <c r="C90" s="11"/>
    </row>
    <row r="91">
      <c r="A91" s="31" t="s">
        <v>339</v>
      </c>
      <c r="B91" s="30" t="s">
        <v>340</v>
      </c>
      <c r="C91" s="11"/>
    </row>
    <row r="92">
      <c r="A92" s="30" t="s">
        <v>341</v>
      </c>
      <c r="B92" s="30" t="s">
        <v>342</v>
      </c>
      <c r="C92" s="11"/>
    </row>
    <row r="93">
      <c r="A93" s="30" t="s">
        <v>343</v>
      </c>
      <c r="B93" s="11"/>
      <c r="C93" s="11"/>
    </row>
    <row r="94">
      <c r="A94" s="11"/>
      <c r="B94" s="11"/>
      <c r="C94" s="11"/>
    </row>
    <row r="95">
      <c r="A95" s="13" t="s">
        <v>344</v>
      </c>
      <c r="B95" s="90" t="s">
        <v>345</v>
      </c>
      <c r="C95" s="13"/>
    </row>
    <row r="96">
      <c r="A96" s="16" t="str">
        <f>HYPERLINK("https://www.ddfl.org/resource/finding-a-trainer/","What to Look For in a Trainer")</f>
        <v>What to Look For in a Trainer</v>
      </c>
      <c r="B96" s="16" t="str">
        <f>HYPERLINK("https://sabradogtraining.com/","Sabra Dog Training ")</f>
        <v>Sabra Dog Training </v>
      </c>
      <c r="C96" s="16" t="str">
        <f>HYPERLINK("https://thankdogtraining.com/","Thank Dog! Training")</f>
        <v>Thank Dog! Training</v>
      </c>
    </row>
    <row r="97">
      <c r="A97" s="16" t="s">
        <v>346</v>
      </c>
      <c r="B97" s="91" t="s">
        <v>347</v>
      </c>
      <c r="C97" s="6" t="str">
        <f>HYPERLINK("http://thepawsitiveprofessor.com/","The Pawsitive Professor ")</f>
        <v>The Pawsitive Professor </v>
      </c>
    </row>
    <row r="98">
      <c r="A98" s="16" t="str">
        <f>HYPERLINK("https://www.ccpdt.org/dog-owners/certified-dog-trainer-directory/","Find a Certified Dog Trainer")</f>
        <v>Find a Certified Dog Trainer</v>
      </c>
      <c r="B98" s="16" t="s">
        <v>348</v>
      </c>
      <c r="C98" s="16" t="str">
        <f>HYPERLINK("https://rescuemedogtraining.com/","Rescue Me! Dog Training ")</f>
        <v>Rescue Me! Dog Training </v>
      </c>
    </row>
    <row r="99">
      <c r="A99" s="16" t="str">
        <f>HYPERLINK("https://iaabc.org/consultants","Find an Animal Behavior Consultant")</f>
        <v>Find an Animal Behavior Consultant</v>
      </c>
      <c r="B99" s="16" t="str">
        <f>HYPERLINK("http://www.dogsandkat.com/services.htm","Dogs and Kat")</f>
        <v>Dogs and Kat</v>
      </c>
      <c r="C99" s="16" t="str">
        <f>HYPERLINK("https://www.musiccitydogtraining.com/","Music City Dog Training ")</f>
        <v>Music City Dog Training </v>
      </c>
    </row>
    <row r="100">
      <c r="A100" s="16" t="str">
        <f>HYPERLINK("http://www.forcefreetn.com/find-a-professional","Force Free TN Directory ")</f>
        <v>Force Free TN Directory </v>
      </c>
      <c r="B100" s="16" t="str">
        <f>HYPERLINK("https://www.familypaws.com/dog-education-for-families-with-dogs/","Family Paws")</f>
        <v>Family Paws</v>
      </c>
      <c r="C100" s="16" t="str">
        <f>HYPERLINK("http://www.advancedcanine.com/","Advanced Canine Training ")</f>
        <v>Advanced Canine Training </v>
      </c>
    </row>
    <row r="101">
      <c r="A101" s="17"/>
      <c r="B101" s="16" t="str">
        <f>HYPERLINK("http://vetbehaviorsolutions.com/services/","Veterinary Behavior Solutions")</f>
        <v>Veterinary Behavior Solutions</v>
      </c>
      <c r="C101" s="17"/>
    </row>
    <row r="102">
      <c r="A102" s="16"/>
      <c r="B102" s="17"/>
      <c r="C102" s="16"/>
    </row>
    <row r="103">
      <c r="A103" s="13" t="s">
        <v>349</v>
      </c>
      <c r="B103" s="13" t="s">
        <v>350</v>
      </c>
      <c r="C103" s="13"/>
    </row>
    <row r="104">
      <c r="A104" s="6" t="str">
        <f>HYPERLINK("https://www.youtube.com/user/Vetstreet","Vet Street")</f>
        <v>Vet Street</v>
      </c>
      <c r="B104" s="92" t="s">
        <v>351</v>
      </c>
      <c r="C104" s="17"/>
    </row>
    <row r="105">
      <c r="A105" s="16" t="str">
        <f>HYPERLINK("https://www.youtube.com/channel/UCMgKNPC0O91FgvS94YMgIag/featured","Simpawtico Dog Training")</f>
        <v>Simpawtico Dog Training</v>
      </c>
      <c r="B105" s="92" t="s">
        <v>352</v>
      </c>
      <c r="C105" s="17"/>
    </row>
    <row r="106">
      <c r="A106" s="16" t="str">
        <f>HYPERLINK("https://www.youtube.com/user/tab289/featured","Training Positive with Tab Shamsi")</f>
        <v>Training Positive with Tab Shamsi</v>
      </c>
      <c r="B106" s="93" t="s">
        <v>353</v>
      </c>
      <c r="C106" s="17"/>
    </row>
    <row r="107">
      <c r="A107" s="16" t="str">
        <f>HYPERLINK("https://www.youtube.com/channel/UC-qnqaajTk6bfs3UZuue6IQ","Kikopup")</f>
        <v>Kikopup</v>
      </c>
      <c r="B107" s="93" t="s">
        <v>354</v>
      </c>
      <c r="C107" s="17"/>
    </row>
    <row r="108">
      <c r="A108" s="16" t="str">
        <f>HYPERLINK("https://www.dunbaracademy.com/","Dr. Dunbar’s Dog Behavior and Training")</f>
        <v>Dr. Dunbar’s Dog Behavior and Training</v>
      </c>
      <c r="B108" s="93" t="s">
        <v>355</v>
      </c>
      <c r="C108" s="17"/>
    </row>
    <row r="109">
      <c r="A109" s="16" t="str">
        <f>HYPERLINK("https://www.youtube.com/channel/UCDq_EWhM9KQHQ6CAogOG7KQ?view_as=subscriber","Journey Dog Training")</f>
        <v>Journey Dog Training</v>
      </c>
      <c r="B109" s="93" t="s">
        <v>356</v>
      </c>
      <c r="C109" s="17"/>
    </row>
    <row r="110">
      <c r="A110" s="31" t="s">
        <v>357</v>
      </c>
      <c r="B110" s="94" t="s">
        <v>358</v>
      </c>
      <c r="C110" s="17"/>
    </row>
    <row r="111">
      <c r="A111" s="17"/>
      <c r="B111" s="17"/>
      <c r="C111" s="17"/>
    </row>
    <row r="112">
      <c r="A112" s="13" t="s">
        <v>359</v>
      </c>
      <c r="B112" s="13" t="s">
        <v>8</v>
      </c>
      <c r="C112" s="13"/>
    </row>
    <row r="113">
      <c r="A113" s="16" t="str">
        <f>HYPERLINK("https://wonderpupstraining.com/drinking-from-the-toilet/","Drinking from the Toilet")</f>
        <v>Drinking from the Toilet</v>
      </c>
      <c r="B113" s="16" t="str">
        <f>HYPERLINK("http://www.drjensdogblog.com/podcast-2/","Dog Talk with Dr. Jen")</f>
        <v>Dog Talk with Dr. Jen</v>
      </c>
      <c r="C113" s="16" t="str">
        <f>HYPERLINK("https://www.creativedogtraining.com/podcasts/","Creative Dog Training")</f>
        <v>Creative Dog Training</v>
      </c>
    </row>
    <row r="114">
      <c r="A114" s="16" t="str">
        <f>HYPERLINK("https://canineconvos.com/","Canine Conversations")</f>
        <v>Canine Conversations</v>
      </c>
      <c r="B114" s="16" t="str">
        <f>HYPERLINK("https://www.dogstardaily.com/radio","Ian Dunbar’s iWoof Podcast")</f>
        <v>Ian Dunbar’s iWoof Podcast</v>
      </c>
      <c r="C114" s="16" t="str">
        <f>HYPERLINK("https://www.animaltrainingacademy.com/series/training-tidbits/","Animal Training Academy")</f>
        <v>Animal Training Academy</v>
      </c>
    </row>
    <row r="115">
      <c r="A115" s="31" t="s">
        <v>360</v>
      </c>
      <c r="B115" s="17"/>
      <c r="C115" s="17"/>
    </row>
    <row r="116">
      <c r="A116" s="17"/>
      <c r="B116" s="17"/>
      <c r="C116" s="17"/>
    </row>
    <row r="117">
      <c r="A117" s="84" t="s">
        <v>361</v>
      </c>
      <c r="B117" s="84" t="s">
        <v>362</v>
      </c>
      <c r="C117" s="84" t="s">
        <v>363</v>
      </c>
    </row>
    <row r="118">
      <c r="A118" s="21" t="str">
        <f>HYPERLINK("https://www.thedodo.com/how-to-move-country-pet-2086901118.html","Moving Internationally with Pets")</f>
        <v>Moving Internationally with Pets</v>
      </c>
      <c r="B118" s="67" t="str">
        <f>HYPERLINK("https://www.abodo.com/pet-friendly","Abodo Directory")</f>
        <v>Abodo Directory</v>
      </c>
      <c r="C118" s="21" t="str">
        <f>HYPERLINK("https://www.petswelcome.com/","Pets Welcome Directory ")</f>
        <v>Pets Welcome Directory </v>
      </c>
    </row>
    <row r="119">
      <c r="A119" s="21" t="str">
        <f>HYPERLINK("https://www.petrelocation.com/","Pet Relocation: US and International Pet Shipping")</f>
        <v>Pet Relocation: US and International Pet Shipping</v>
      </c>
      <c r="B119" s="67" t="str">
        <f>HYPERLINK("http://www.peoplewithpets.com/","People With Pets Directory")</f>
        <v>People With Pets Directory</v>
      </c>
      <c r="C119" s="21" t="str">
        <f>HYPERLINK("https://www.bringfido.com/","Bring Fido - Places to Stay, Play and Eat!")</f>
        <v>Bring Fido - Places to Stay, Play and Eat!</v>
      </c>
    </row>
    <row r="120">
      <c r="A120" s="21" t="str">
        <f>HYPERLINK("https://www.ipata.org/","IPATA: International Pet Shipping")</f>
        <v>IPATA: International Pet Shipping</v>
      </c>
      <c r="B120" s="67" t="str">
        <f>HYPERLINK("https://www.mypitbullisfamily.org/housing/","My Pit Bull is Family Directory")</f>
        <v>My Pit Bull is Family Directory</v>
      </c>
      <c r="C120" s="67" t="str">
        <f>HYPERLINK("https://www.gopetfriendly.com/","Go Pet Friendly - Hotels and Travel Destinations")</f>
        <v>Go Pet Friendly - Hotels and Travel Destinations</v>
      </c>
    </row>
    <row r="121">
      <c r="A121" s="21" t="str">
        <f>HYPERLINK("https://www.happytailstravel.com/services/pet-shipping-overseas-international","Happy Tails Travel: US and International Pet Shipping")</f>
        <v>Happy Tails Travel: US and International Pet Shipping</v>
      </c>
      <c r="B121" s="79"/>
      <c r="C121" s="21" t="str">
        <f>HYPERLINK("https://resources.bestfriends.org/article/traveling-pets-tips-travel-and-vacations-dog-or-cat","How to Travel With Pets")</f>
        <v>How to Travel With Pets</v>
      </c>
    </row>
    <row r="122">
      <c r="A122" s="67" t="s">
        <v>364</v>
      </c>
      <c r="B122" s="80"/>
      <c r="C122" s="80"/>
    </row>
    <row r="123">
      <c r="A123" s="21" t="str">
        <f>HYPERLINK("https://www.aspca.org/pet-care/general-pet-care/moving-your-pet","Moving With Your Pet")</f>
        <v>Moving With Your Pet</v>
      </c>
      <c r="B123" s="79"/>
      <c r="C123" s="80"/>
    </row>
    <row r="124">
      <c r="A124" s="79"/>
      <c r="B124" s="79"/>
      <c r="C124" s="80"/>
    </row>
    <row r="125">
      <c r="A125" s="84" t="s">
        <v>365</v>
      </c>
      <c r="B125" s="84" t="s">
        <v>366</v>
      </c>
      <c r="C125" s="84" t="s">
        <v>367</v>
      </c>
    </row>
    <row r="126">
      <c r="A126" s="95" t="str">
        <f>HYPERLINK("https://www.nolo.com/legal-encyclopedia/tennessee-laws-on-guide-dogs-and-support-animals-in-public-places-and-housing.html","TN Laws on Guide Dogs and Support Animals")</f>
        <v>TN Laws on Guide Dogs and Support Animals</v>
      </c>
      <c r="B126" s="67" t="str">
        <f>HYPERLINK("https://resources.bestfriends.org/article/pet-friendly-landlords-increase-profitability","Pet-Friendly Landlords Increase Profitability")</f>
        <v>Pet-Friendly Landlords Increase Profitability</v>
      </c>
      <c r="C126" s="21" t="str">
        <f>HYPERLINK("https://rentberry.com/blog/create-pet-resume","Create a Pet Resume")</f>
        <v>Create a Pet Resume</v>
      </c>
    </row>
    <row r="127">
      <c r="A127" s="95" t="str">
        <f>HYPERLINK("https://library.municode.com/tn/metro_government_of_nashville_and_davidson_county/codes/code_of_ordinances?nodeId=CD_TIT8AN","Davidson Co. Law as it Relates to Animals")</f>
        <v>Davidson Co. Law as it Relates to Animals</v>
      </c>
      <c r="B127" s="67" t="str">
        <f>HYPERLINK("https://resources.bestfriends.org/article/why-breed-specific-legislation-ineffective","Why Breed-Specific Legislation is Ineffective")</f>
        <v>Why Breed-Specific Legislation is Ineffective</v>
      </c>
      <c r="C127" s="67" t="str">
        <f>HYPERLINK("https://www.akc.org/products-services/training-programs/canine-good-citizen/take-the-test/","Take the Canine Good Citizen Test ")</f>
        <v>Take the Canine Good Citizen Test </v>
      </c>
    </row>
    <row r="128">
      <c r="A128" s="21" t="str">
        <f>HYPERLINK("https://www.tenantresourcecenter.org/pets_and_service_animals","Tenant Resource Center’s Guide to Pets and Service Animals")</f>
        <v>Tenant Resource Center’s Guide to Pets and Service Animals</v>
      </c>
      <c r="B128" s="67" t="str">
        <f>HYPERLINK("https://s3fs.bestfriends.org/s3fs-public/07628-PBIFlyerUpdates-Public-safety-and-dangerous-dog-laws-What-you-need-to-know.pdf?_ga=2.145675891.673618123.1589377774-487256300.1588793665","Public Safety and ""Dangerous Dogs""")</f>
        <v>Public Safety and "Dangerous Dogs"</v>
      </c>
      <c r="C128" s="67" t="str">
        <f>HYPERLINK("https://einhorninsurance.com/dangerous-dog-liability-insurance/","Purchase Dog Liability Insurance")</f>
        <v>Purchase Dog Liability Insurance</v>
      </c>
    </row>
    <row r="129">
      <c r="A129" s="21" t="str">
        <f>HYPERLINK("https://www.humanesociety.org/resources/information-renters-pets","HSUS’s Information for Renters with Pets")</f>
        <v>HSUS’s Information for Renters with Pets</v>
      </c>
      <c r="B129" s="67" t="str">
        <f>HYPERLINK("https://resources.bestfriends.org/article/dog-breed-discrimination-prevention","Preventing Dog Breed Discrimination ")</f>
        <v>Preventing Dog Breed Discrimination </v>
      </c>
      <c r="C129" s="80"/>
    </row>
    <row r="130">
      <c r="A130" s="67" t="str">
        <f>HYPERLINK("https://www.humanesociety.org/resources/fair-housing-act-and-assistance-animals","The Fair Housing Act (FHA) and Assistance Animals")</f>
        <v>The Fair Housing Act (FHA) and Assistance Animals</v>
      </c>
      <c r="B130" s="21" t="str">
        <f>HYPERLINK("https://bestfriends.org/our-work/best-friends-advocacy/ending-breed-discrimination","Ending Breed Discrimination ")</f>
        <v>Ending Breed Discrimination </v>
      </c>
      <c r="C130" s="80"/>
    </row>
    <row r="131">
      <c r="A131" s="79"/>
      <c r="B131" s="21" t="str">
        <f>HYPERLINK("https://www.animalsheltering.org/pawadvocateguide","HSUS’s Pets are Welcome Guide to Advocacy")</f>
        <v>HSUS’s Pets are Welcome Guide to Advocacy</v>
      </c>
      <c r="C131" s="80"/>
    </row>
    <row r="132">
      <c r="A132" s="79"/>
      <c r="B132" s="21" t="s">
        <v>368</v>
      </c>
      <c r="C132" s="80"/>
    </row>
    <row r="133">
      <c r="A133" s="79"/>
      <c r="B133" s="79"/>
      <c r="C133" s="80"/>
    </row>
    <row r="134">
      <c r="A134" s="84" t="s">
        <v>369</v>
      </c>
      <c r="B134" s="96"/>
      <c r="C134" s="84" t="s">
        <v>8</v>
      </c>
    </row>
    <row r="135">
      <c r="A135" s="21" t="str">
        <f>HYPERLINK("https://www.statefarm.com","State Farm")</f>
        <v>State Farm</v>
      </c>
      <c r="B135" s="21" t="str">
        <f>HYPERLINK("www.geico.com","Geico ")</f>
        <v>Geico </v>
      </c>
      <c r="C135" s="21" t="str">
        <f>HYPERLINK("usaa.com","USAA")</f>
        <v>USAA</v>
      </c>
    </row>
    <row r="136">
      <c r="A136" s="79"/>
      <c r="B136" s="80"/>
      <c r="C136" s="80"/>
    </row>
    <row r="137">
      <c r="A137" s="84" t="s">
        <v>370</v>
      </c>
      <c r="B137" s="84"/>
      <c r="C137" s="84" t="s">
        <v>371</v>
      </c>
    </row>
    <row r="138">
      <c r="A138" s="21" t="str">
        <f>HYPERLINK("https://www.ddfl.org/resource/choosing-a-boarding-kennel/","How to Choose a Boarding Facility")</f>
        <v>How to Choose a Boarding Facility</v>
      </c>
      <c r="B138" s="67" t="str">
        <f>HYPERLINK("https://www.mysecondhome.com/","My Second Home")</f>
        <v>My Second Home</v>
      </c>
      <c r="C138" s="67" t="str">
        <f>HYPERLINK("https://sabradogtraining.com/","Sabra Dog Training ")</f>
        <v>Sabra Dog Training </v>
      </c>
    </row>
    <row r="139">
      <c r="A139" s="21" t="str">
        <f>HYPERLINK("http://ntbdogs.com/","Nashville Tail Blazers")</f>
        <v>Nashville Tail Blazers</v>
      </c>
      <c r="B139" s="67" t="str">
        <f>HYPERLINK("https://www.petresortsofamerica.com/","Pet Resorts of America")</f>
        <v>Pet Resorts of America</v>
      </c>
      <c r="C139" s="21" t="str">
        <f>HYPERLINK("http://ntbdogs.com/","Nashville Tail Blazers")</f>
        <v>Nashville Tail Blazers</v>
      </c>
    </row>
    <row r="140">
      <c r="A140" s="67" t="str">
        <f>HYPERLINK("https://www.beckwithfarmspetretreat.com/","Beckwith Farms Pet Retreat")</f>
        <v>Beckwith Farms Pet Retreat</v>
      </c>
      <c r="B140" s="67" t="str">
        <f>HYPERLINK("https://www.southpawdog.com/","SouthPaws ")</f>
        <v>SouthPaws </v>
      </c>
      <c r="C140" s="85" t="s">
        <v>372</v>
      </c>
    </row>
    <row r="141">
      <c r="A141" s="67" t="str">
        <f>HYPERLINK("https://www.campbowwow.com/nashville-downtown/","Camp Bow Wow ")</f>
        <v>Camp Bow Wow </v>
      </c>
      <c r="B141" s="67" t="str">
        <f>HYPERLINK("http://www.thebelmontpetresort.com/","The Belmont Pet Resort and Daycare")</f>
        <v>The Belmont Pet Resort and Daycare</v>
      </c>
      <c r="C141" s="80"/>
    </row>
    <row r="142">
      <c r="A142" s="67" t="str">
        <f>HYPERLINK("https://www.misskittysnashville.com/","Miss Kitty's Nashville")</f>
        <v>Miss Kitty's Nashville</v>
      </c>
      <c r="B142" s="67" t="str">
        <f>HYPERLINK("https://vcahospitals.com/find-a-hospital","VCA Boarding")</f>
        <v>VCA Boarding</v>
      </c>
      <c r="C142" s="80"/>
    </row>
    <row r="143">
      <c r="A143" s="80"/>
      <c r="B143" s="79"/>
      <c r="C143" s="80"/>
    </row>
    <row r="144">
      <c r="A144" s="84" t="s">
        <v>373</v>
      </c>
      <c r="B144" s="97" t="s">
        <v>374</v>
      </c>
      <c r="C144" s="96"/>
    </row>
    <row r="145">
      <c r="A145" s="21" t="str">
        <f>HYPERLINK("https://redrover.org/relief/dv-safe-escape-grants/","Red Rover - Pet Boarding for Those Escaping Domestic Violence ")</f>
        <v>Red Rover - Pet Boarding for Those Escaping Domestic Violence </v>
      </c>
      <c r="B145" s="98" t="str">
        <f>HYPERLINK("https://www.dogsondeployment.org/","Dogs On Deployment")</f>
        <v>Dogs On Deployment</v>
      </c>
      <c r="C145" s="99" t="s">
        <v>128</v>
      </c>
    </row>
    <row r="146">
      <c r="A146" s="21" t="str">
        <f>HYPERLINK("https://redrover.org/relief/emergency-boarding-grants/","Red Rover - Pet Boarding for Those Hospitalized due to COVID-19")</f>
        <v>Red Rover - Pet Boarding for Those Hospitalized due to COVID-19</v>
      </c>
      <c r="B146" s="98" t="str">
        <f>HYPERLINK("https://pactforanimals.org/military-foster-program/","PACT for Animals ")</f>
        <v>PACT for Animals </v>
      </c>
      <c r="C146" s="99" t="s">
        <v>128</v>
      </c>
    </row>
    <row r="147">
      <c r="A147" s="21" t="str">
        <f>HYPERLINK("https://www.safpaw.org/what-we-do","SAFPAW - Emergency Fostering for Homeless Pets")</f>
        <v>SAFPAW - Emergency Fostering for Homeless Pets</v>
      </c>
      <c r="B147" s="98" t="str">
        <f>HYPERLINK("https://gafsp.org/","Guardian Angels for Soldier's Pet")</f>
        <v>Guardian Angels for Soldier's Pet</v>
      </c>
      <c r="C147" s="99" t="s">
        <v>375</v>
      </c>
    </row>
    <row r="148">
      <c r="A148" s="21" t="str">
        <f>HYPERLINK("https://resources.bestfriends.org/article/natural-disaster-preparedness-families-pets","Natural Disaster Preparedness for Families with Pets")</f>
        <v>Natural Disaster Preparedness for Families with Pets</v>
      </c>
      <c r="B148" s="98" t="str">
        <f>HYPERLINK("https://www.americanhumane.org/initiative/grant-helping-veterans-adopt-service-dogs/","Wags4Patriots")</f>
        <v>Wags4Patriots</v>
      </c>
      <c r="C148" s="99" t="s">
        <v>376</v>
      </c>
    </row>
    <row r="149">
      <c r="A149" s="21" t="str">
        <f>HYPERLINK("https://resources.bestfriends.org/article/pet-natural-disaster-checklist-and-emergency-plan","Pet Natural Disaster Checklist and Emergency Plan")</f>
        <v>Pet Natural Disaster Checklist and Emergency Plan</v>
      </c>
      <c r="B149" s="100"/>
      <c r="C149" s="99"/>
    </row>
    <row r="150">
      <c r="A150" s="39" t="s">
        <v>377</v>
      </c>
      <c r="B150" s="99"/>
      <c r="C150" s="80"/>
    </row>
    <row r="151">
      <c r="A151" s="99" t="s">
        <v>8</v>
      </c>
      <c r="B151" s="99" t="s">
        <v>8</v>
      </c>
      <c r="C151" s="80"/>
    </row>
    <row r="152">
      <c r="A152" s="84" t="s">
        <v>378</v>
      </c>
      <c r="B152" s="84" t="s">
        <v>379</v>
      </c>
      <c r="C152" s="84" t="s">
        <v>380</v>
      </c>
    </row>
    <row r="153">
      <c r="A153" s="67" t="str">
        <f>HYPERLINK("https://resources.bestfriends.org/article/pet-profiles-how-write-adoptable-animal-bios","How to Write the Best Pet Bio Possible")</f>
        <v>How to Write the Best Pet Bio Possible</v>
      </c>
      <c r="B153" s="67" t="str">
        <f>HYPERLINK("https://rehome.adoptapet.com/","Adopt-A-Pet, Powered by Petco")</f>
        <v>Adopt-A-Pet, Powered by Petco</v>
      </c>
      <c r="C153" s="67" t="str">
        <f>HYPERLINK("http://worldanimal.net/component/wandirs/list?continentID=4&amp;countryID=227","World Animal Network")</f>
        <v>World Animal Network</v>
      </c>
    </row>
    <row r="154">
      <c r="A154" s="67" t="str">
        <f>HYPERLINK("https://getyourpet.com/tips-for-guardians/","Tips on Vetting Adopters, Etc. from Get Your Pet")</f>
        <v>Tips on Vetting Adopters, Etc. from Get Your Pet</v>
      </c>
      <c r="B154" s="67" t="str">
        <f>HYPERLINK("https://getyourpet.com/how-to-rehome-a-dog-or-cat-step-by-step/","Get Your Pet!")</f>
        <v>Get Your Pet!</v>
      </c>
      <c r="C154" s="67" t="str">
        <f>HYPERLINK("https://www.nokillnetwork.org/rehome.php","No-Kill Network")</f>
        <v>No-Kill Network</v>
      </c>
    </row>
    <row r="155">
      <c r="A155" s="67" t="str">
        <f>HYPERLINK("https://resources.bestfriends.org/article/rehoming-special-needs-pet","Rehoming a Special Needs Pet")</f>
        <v>Rehoming a Special Needs Pet</v>
      </c>
      <c r="B155" s="67" t="str">
        <f>HYPERLINK("https://www.rescueme.org/","Rescue Me!")</f>
        <v>Rescue Me!</v>
      </c>
      <c r="C155" s="80"/>
    </row>
    <row r="156">
      <c r="A156" s="80"/>
      <c r="B156" s="67" t="str">
        <f>HYPERLINK("https://www.facebook.com/groups/1427473560705021/","Nashville Pet Rehoming")</f>
        <v>Nashville Pet Rehoming</v>
      </c>
      <c r="C156" s="80"/>
    </row>
    <row r="157">
      <c r="A157" s="80"/>
      <c r="B157" s="79"/>
      <c r="C157" s="79"/>
    </row>
    <row r="158">
      <c r="A158" s="84" t="s">
        <v>247</v>
      </c>
      <c r="B158" s="84" t="s">
        <v>248</v>
      </c>
      <c r="C158" s="84" t="s">
        <v>249</v>
      </c>
    </row>
    <row r="159">
      <c r="A159" s="67" t="str">
        <f>HYPERLINK("https://www.dvm360.com/view/treat-or-euthanize-helping-owners-make-critical-decisions-regarding-pets-with-behavior-problems","DVM: Making Critical Decisions, Behavioral Euthanasia")</f>
        <v>DVM: Making Critical Decisions, Behavioral Euthanasia</v>
      </c>
      <c r="B159" s="67" t="str">
        <f>HYPERLINK("https://vet.osu.edu/vmc/sites/default/files/import/assets/pdf/hospital/companionAnimals/HonoringtheBond/HowDoIKnowWhen.pdf","Knowing When It's Time - Medical Euthanasia")</f>
        <v>Knowing When It's Time - Medical Euthanasia</v>
      </c>
      <c r="C159" s="21" t="str">
        <f>HYPERLINK("https://petlossathome.com/mobile-vet/tennessee/nashville-cat-dog-euthanasia/","Pet Loss at Home ")</f>
        <v>Pet Loss at Home </v>
      </c>
    </row>
    <row r="160">
      <c r="A160" s="67" t="str">
        <f>HYPERLINK("https://vet.osu.edu/vmc/sites/default/files/import/files/documents/pdf/vmc/Behavioral%20Euthanasia%20fact%20sheet.pdf","Ohio State VMC: Considerations for Behavioral Euthanasia")</f>
        <v>Ohio State VMC: Considerations for Behavioral Euthanasia</v>
      </c>
      <c r="B160" s="67" t="str">
        <f>HYPERLINK("https://www.americanhumane.org/fact-sheet/euthanasia-making-the-decision/","What to Expect : Euthanasia")</f>
        <v>What to Expect : Euthanasia</v>
      </c>
      <c r="C160" s="21" t="str">
        <f>HYPERLINK("https://www.lapoflove.com/Locations-Tennessee-Nashville","Lap of Love")</f>
        <v>Lap of Love</v>
      </c>
    </row>
    <row r="161">
      <c r="A161" s="67" t="str">
        <f>HYPERLINK("https://www.facebook.com/groups/losinglulu/","Behavioral Euthanasia Support Group, Facebook")</f>
        <v>Behavioral Euthanasia Support Group, Facebook</v>
      </c>
      <c r="B161" s="67" t="str">
        <f>HYPERLINK("https://www.lapoflove.com/community/Pet-Loss-Support","Directory of Resources for Pet-Loss Support ")</f>
        <v>Directory of Resources for Pet-Loss Support </v>
      </c>
      <c r="C161" s="79"/>
    </row>
    <row r="162">
      <c r="A162" s="80"/>
      <c r="B162" s="80"/>
      <c r="C162" s="80"/>
    </row>
  </sheetData>
  <hyperlinks>
    <hyperlink r:id="rId1" ref="C5"/>
    <hyperlink r:id="rId2" ref="B12"/>
    <hyperlink r:id="rId3" ref="A15"/>
    <hyperlink r:id="rId4" ref="C23"/>
    <hyperlink r:id="rId5" location=":~:text=Aggression%20between%20unfamiliar%20dogs%20can,people%20trying%20to%20separate%20them." ref="A26"/>
    <hyperlink r:id="rId6" ref="A27"/>
    <hyperlink r:id="rId7" ref="B30"/>
    <hyperlink r:id="rId8" ref="B31"/>
    <hyperlink r:id="rId9" location="1" ref="A32"/>
    <hyperlink r:id="rId10" ref="C32"/>
    <hyperlink r:id="rId11" location="1" ref="B33"/>
    <hyperlink r:id="rId12" ref="A34"/>
    <hyperlink r:id="rId13" ref="C35"/>
    <hyperlink r:id="rId14" ref="C36"/>
    <hyperlink r:id="rId15" ref="B37"/>
    <hyperlink r:id="rId16" ref="C37"/>
    <hyperlink r:id="rId17" ref="B38"/>
    <hyperlink r:id="rId18" ref="C38"/>
    <hyperlink r:id="rId19" ref="A41"/>
    <hyperlink r:id="rId20" ref="A42"/>
    <hyperlink r:id="rId21" ref="A43"/>
    <hyperlink r:id="rId22" ref="A44"/>
    <hyperlink r:id="rId23" ref="A47"/>
    <hyperlink r:id="rId24" ref="B47"/>
    <hyperlink r:id="rId25" ref="C47"/>
    <hyperlink r:id="rId26" ref="A48"/>
    <hyperlink r:id="rId27" ref="B48"/>
    <hyperlink r:id="rId28" ref="C48"/>
    <hyperlink r:id="rId29" ref="A49"/>
    <hyperlink r:id="rId30" ref="B49"/>
    <hyperlink r:id="rId31" ref="C49"/>
    <hyperlink r:id="rId32" ref="B52"/>
    <hyperlink r:id="rId33" ref="A53"/>
    <hyperlink r:id="rId34" ref="A55"/>
    <hyperlink r:id="rId35" ref="A56"/>
    <hyperlink r:id="rId36" ref="C56"/>
    <hyperlink r:id="rId37" ref="C57"/>
    <hyperlink r:id="rId38" ref="C58"/>
    <hyperlink r:id="rId39" ref="A59"/>
    <hyperlink r:id="rId40" ref="B59"/>
    <hyperlink r:id="rId41" ref="C62"/>
    <hyperlink r:id="rId42" location="small" ref="B63"/>
    <hyperlink r:id="rId43" ref="A65"/>
    <hyperlink r:id="rId44" ref="A66"/>
    <hyperlink r:id="rId45" ref="C70"/>
    <hyperlink r:id="rId46" ref="B71"/>
    <hyperlink r:id="rId47" ref="C72"/>
    <hyperlink r:id="rId48" ref="C73"/>
    <hyperlink r:id="rId49" ref="B76"/>
    <hyperlink r:id="rId50" ref="B77"/>
    <hyperlink r:id="rId51" ref="C77"/>
    <hyperlink r:id="rId52" ref="A78"/>
    <hyperlink r:id="rId53" ref="B78"/>
    <hyperlink r:id="rId54" ref="C78"/>
    <hyperlink r:id="rId55" ref="B79"/>
    <hyperlink r:id="rId56" ref="A80"/>
    <hyperlink r:id="rId57" ref="B80"/>
    <hyperlink r:id="rId58" ref="B81"/>
    <hyperlink r:id="rId59" ref="B82"/>
    <hyperlink r:id="rId60" ref="B83"/>
    <hyperlink r:id="rId61" ref="A86"/>
    <hyperlink r:id="rId62" ref="B86"/>
    <hyperlink r:id="rId63" location="Chapter8.08" ref="B87"/>
    <hyperlink r:id="rId64" ref="B88"/>
    <hyperlink r:id="rId65" ref="B89"/>
    <hyperlink r:id="rId66" ref="C89"/>
    <hyperlink r:id="rId67" ref="A90"/>
    <hyperlink r:id="rId68" ref="B90"/>
    <hyperlink r:id="rId69" ref="A91"/>
    <hyperlink r:id="rId70" ref="B91"/>
    <hyperlink r:id="rId71" ref="A92"/>
    <hyperlink r:id="rId72" ref="B92"/>
    <hyperlink r:id="rId73" ref="A93"/>
    <hyperlink r:id="rId74" ref="A97"/>
    <hyperlink r:id="rId75" ref="B98"/>
    <hyperlink r:id="rId76" ref="A110"/>
    <hyperlink r:id="rId77" ref="A115"/>
    <hyperlink r:id="rId78" ref="A122"/>
    <hyperlink r:id="rId79" ref="B132"/>
    <hyperlink r:id="rId80" ref="A150"/>
  </hyperlinks>
  <drawing r:id="rId8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2.86"/>
    <col customWidth="1" min="2" max="2" width="54.14"/>
    <col customWidth="1" min="3" max="3" width="57.0"/>
  </cols>
  <sheetData>
    <row r="1">
      <c r="A1" s="36" t="s">
        <v>250</v>
      </c>
      <c r="B1" s="45" t="s">
        <v>8</v>
      </c>
      <c r="C1" s="45" t="s">
        <v>251</v>
      </c>
    </row>
    <row r="2">
      <c r="A2" s="30" t="str">
        <f>HYPERLINK("https://www.aspca.org/pet-care/cat-care","ASPCA: Cat Care ")</f>
        <v>ASPCA: Cat Care </v>
      </c>
      <c r="B2" s="30" t="str">
        <f>HYPERLINK("https://maddiespetforum.org/","Maddies Pet Forum")</f>
        <v>Maddies Pet Forum</v>
      </c>
      <c r="C2" s="67" t="str">
        <f>HYPERLINK("https://fearfreehappyhomes.com/","Fear Free Happy Homes")</f>
        <v>Fear Free Happy Homes</v>
      </c>
    </row>
    <row r="3">
      <c r="A3" s="48" t="str">
        <f>HYPERLINK("https://www.catbehaviorassociates.com/","Cat Behavior Associates")</f>
        <v>Cat Behavior Associates</v>
      </c>
      <c r="B3" s="48" t="str">
        <f>HYPERLINK("https://www.thesprucepets.com/cats-4162124","Spruce Pets: Cat Care and More")</f>
        <v>Spruce Pets: Cat Care and More</v>
      </c>
      <c r="C3" s="16" t="str">
        <f>HYPERLINK("https://www.humanesociety.org/resources/nose-tail","Nose-Tail: Humane Education for Kids")</f>
        <v>Nose-Tail: Humane Education for Kids</v>
      </c>
    </row>
    <row r="4">
      <c r="A4" s="48" t="str">
        <f>HYPERLINK("https://www.ddfl.org/behavior-help/","Dumb Friends League Behavior Helpline")</f>
        <v>Dumb Friends League Behavior Helpline</v>
      </c>
      <c r="B4" s="48" t="s">
        <v>381</v>
      </c>
      <c r="C4" s="21" t="str">
        <f>HYPERLINK("https://redrover.org/readers/","Red Rover: Teaching Kids Empathy for Animals ")</f>
        <v>Red Rover: Teaching Kids Empathy for Animals </v>
      </c>
    </row>
    <row r="5">
      <c r="A5" s="101"/>
      <c r="B5" s="102" t="s">
        <v>8</v>
      </c>
      <c r="C5" s="102"/>
    </row>
    <row r="6">
      <c r="A6" s="84" t="s">
        <v>382</v>
      </c>
      <c r="B6" s="24" t="s">
        <v>8</v>
      </c>
      <c r="C6" s="13"/>
    </row>
    <row r="7">
      <c r="A7" s="67" t="str">
        <f>HYPERLINK("https://www.aspca.org/pet-care/cat-care/cat-nutrition-tips","Kittens and Cats: Nutrition 101")</f>
        <v>Kittens and Cats: Nutrition 101</v>
      </c>
      <c r="B7" s="67" t="str">
        <f>HYPERLINK("https://www.aspca.org/pet-care/cat-care/common-cat-diseases","Common Cat Diseases")</f>
        <v>Common Cat Diseases</v>
      </c>
      <c r="C7" s="16" t="str">
        <f>HYPERLINK("https://www.ddfl.org/news/blind-pet-care/","Caring for a Blind Pet")</f>
        <v>Caring for a Blind Pet</v>
      </c>
    </row>
    <row r="8">
      <c r="A8" s="67" t="str">
        <f>HYPERLINK("https://pets.webmd.com/cats/cat-vaccines#1","What's Needed? Vaccinations 101")</f>
        <v>What's Needed? Vaccinations 101</v>
      </c>
      <c r="B8" s="67" t="str">
        <f>HYPERLINK("https://www.vet.cornell.edu/departments-centers-and-institutes/cornell-feline-health-center/health-information/feline-health-topics","Cornell EDU: Cat Health Topics")</f>
        <v>Cornell EDU: Cat Health Topics</v>
      </c>
      <c r="C8" s="6" t="str">
        <f>HYPERLINK("https://resources.bestfriends.org/article/faqs-about-cats-wheelchairs-and-carts","Cats in Wheelchairs and Carts FAQ")</f>
        <v>Cats in Wheelchairs and Carts FAQ</v>
      </c>
    </row>
    <row r="9">
      <c r="A9" s="103" t="str">
        <f>HYPERLINK("https://pets.webmd.com/cats/guide/flea-prevention#1","Flea and Tick Prevention!")</f>
        <v>Flea and Tick Prevention!</v>
      </c>
      <c r="B9" s="67" t="str">
        <f>HYPERLINK("https://resources.bestfriends.org/article/how-find-good-vet","Finding a Great Vet!")</f>
        <v>Finding a Great Vet!</v>
      </c>
      <c r="C9" s="16" t="str">
        <f>HYPERLINK("https://resources.bestfriends.org/article/three-legged-dog-or-cat-tips-adopters","Tripod Tips")</f>
        <v>Tripod Tips</v>
      </c>
    </row>
    <row r="10">
      <c r="A10" s="102" t="s">
        <v>8</v>
      </c>
      <c r="B10" s="102" t="s">
        <v>8</v>
      </c>
      <c r="C10" s="102" t="s">
        <v>8</v>
      </c>
    </row>
    <row r="11">
      <c r="A11" s="104" t="s">
        <v>383</v>
      </c>
      <c r="B11" s="104" t="s">
        <v>384</v>
      </c>
      <c r="C11" s="104" t="s">
        <v>385</v>
      </c>
    </row>
    <row r="12">
      <c r="A12" s="67" t="str">
        <f>HYPERLINK("https://www.ddfl.org/resource/introducing-your-new-cat-to-your-other-pets/","Introducing Your Cat to Other Pets")</f>
        <v>Introducing Your Cat to Other Pets</v>
      </c>
      <c r="B12" s="30" t="str">
        <f>HYPERLINK("http://www.americanhumane.org/fact-sheet/introducing-dogs-to-cats/","Matching Cats and Dogs")</f>
        <v>Matching Cats and Dogs</v>
      </c>
      <c r="C12" s="30" t="str">
        <f>HYPERLINK("https://resources.bestfriends.org/article/cat-scared-strangers-how-calm-anxious-cats","Cats Fearful of Strangers")</f>
        <v>Cats Fearful of Strangers</v>
      </c>
    </row>
    <row r="13">
      <c r="A13" s="105" t="str">
        <f>HYPERLINK("https://resources.bestfriends.org/article/cat-scared-other-pets","Cats Scared of Other Pets")</f>
        <v>Cats Scared of Other Pets</v>
      </c>
      <c r="B13" s="67" t="str">
        <f>HYPERLINK("https://resources.bestfriends.org/article/how-introduce-dog-cat","Introducing Dogs to Cats")</f>
        <v>Introducing Dogs to Cats</v>
      </c>
      <c r="C13" s="67" t="str">
        <f>HYPERLINK("https://resources.bestfriends.org/article/how-socialize-very-shy-or-fearful-cats","Socializing Fearful or Shy Cats")</f>
        <v>Socializing Fearful or Shy Cats</v>
      </c>
    </row>
    <row r="14">
      <c r="A14" s="106" t="str">
        <f>HYPERLINK("https://www.ddfl.org/resource/managing-your-young-cats-rough-play/","Managing Rough Play")</f>
        <v>Managing Rough Play</v>
      </c>
      <c r="B14" s="30" t="str">
        <f>HYPERLINK("https://www.animalhumanesociety.org/behavior/how-introduce-dog-and-cat","How to Introduce Dogs and Cats")</f>
        <v>How to Introduce Dogs and Cats</v>
      </c>
      <c r="C14" s="48" t="str">
        <f>HYPERLINK("https://www.aspca.org/pet-care/cat-care/cats-and-babies","Prepping Your Cat for a Baby")</f>
        <v>Prepping Your Cat for a Baby</v>
      </c>
    </row>
    <row r="15">
      <c r="A15" s="27" t="s">
        <v>386</v>
      </c>
      <c r="B15" s="106" t="str">
        <f>HYPERLINK("https://www.clickertraining.com/node/1687 ","Can Cats and Dogs Be Friends?")</f>
        <v>Can Cats and Dogs Be Friends?</v>
      </c>
      <c r="C15" s="30" t="str">
        <f>HYPERLINK("https://www.ddfl.org/resource/children-and-cats-important-information-for-parents/","Cats and Children")</f>
        <v>Cats and Children</v>
      </c>
    </row>
    <row r="16">
      <c r="A16" s="105" t="s">
        <v>387</v>
      </c>
      <c r="B16" s="21" t="str">
        <f>HYPERLINK("https://resources.bestfriends.org/article/dog-chasing-cat-tips-stopping-behavior","Dogs Chasing Cats")</f>
        <v>Dogs Chasing Cats</v>
      </c>
      <c r="C16" s="30" t="str">
        <f>HYPERLINK("https://resources.bestfriends.org/article/aggression-cats-toward-people","Cat Aggression Toward People")</f>
        <v>Cat Aggression Toward People</v>
      </c>
    </row>
    <row r="17">
      <c r="A17" s="27" t="s">
        <v>388</v>
      </c>
      <c r="B17" s="107"/>
      <c r="C17" s="105" t="str">
        <f>HYPERLINK("https://www.ddfl.org/resource/understanding-cat-aggression-towards-people/","Types of Cat Aggression Toward People")</f>
        <v>Types of Cat Aggression Toward People</v>
      </c>
    </row>
    <row r="18">
      <c r="A18" s="108"/>
      <c r="B18" s="107"/>
      <c r="C18" s="48" t="s">
        <v>256</v>
      </c>
    </row>
    <row r="19">
      <c r="A19" s="109"/>
      <c r="B19" s="107"/>
      <c r="C19" s="21"/>
    </row>
    <row r="20">
      <c r="A20" s="24" t="s">
        <v>389</v>
      </c>
      <c r="B20" s="24" t="s">
        <v>390</v>
      </c>
      <c r="C20" s="24" t="s">
        <v>391</v>
      </c>
    </row>
    <row r="21">
      <c r="A21" s="67" t="str">
        <f>HYPERLINK("https://resources.bestfriends.org/article/cat-body-language-communication-and-expression","Cat Body Language")</f>
        <v>Cat Body Language</v>
      </c>
      <c r="B21" s="67" t="str">
        <f>HYPERLINK("https://www.ddfl.org/resource/overstimulated-cats/","Overstimulated Cats")</f>
        <v>Overstimulated Cats</v>
      </c>
      <c r="C21" s="21" t="str">
        <f>HYPERLINK("https://www.ddfl.org/resource/the-fearful-cat/","The Fearful Cat")</f>
        <v>The Fearful Cat</v>
      </c>
    </row>
    <row r="22">
      <c r="A22" s="67" t="str">
        <f>HYPERLINK("https://resources.bestfriends.org/article/cat-behavior-modification-and-counter-conditioning","Counter-Conditioning Your Cat")</f>
        <v>Counter-Conditioning Your Cat</v>
      </c>
      <c r="B22" s="67" t="str">
        <f>HYPERLINK("https://resources.bestfriends.org/article/cat-scared-strangers-how-calm-anxious-cats","Calming Anxious Cats")</f>
        <v>Calming Anxious Cats</v>
      </c>
      <c r="C22" s="31" t="s">
        <v>392</v>
      </c>
    </row>
    <row r="23">
      <c r="A23" s="67" t="str">
        <f>HYPERLINK("https://iaabc.org/consultants","Find an Animal Behavior Consultant")</f>
        <v>Find an Animal Behavior Consultant</v>
      </c>
      <c r="B23" s="105" t="s">
        <v>393</v>
      </c>
      <c r="C23" s="31" t="s">
        <v>394</v>
      </c>
    </row>
    <row r="24">
      <c r="A24" s="105" t="s">
        <v>395</v>
      </c>
      <c r="B24" s="21"/>
      <c r="C24" s="12"/>
    </row>
    <row r="25">
      <c r="A25" s="109"/>
      <c r="B25" s="21"/>
      <c r="C25" s="12" t="s">
        <v>8</v>
      </c>
    </row>
    <row r="26">
      <c r="A26" s="24" t="s">
        <v>396</v>
      </c>
      <c r="B26" s="24" t="s">
        <v>283</v>
      </c>
      <c r="C26" s="24" t="s">
        <v>397</v>
      </c>
    </row>
    <row r="27">
      <c r="A27" s="95" t="str">
        <f>HYPERLINK("http://www.forcefreetn.com/find-a-professional","Force Free TN Directory ")</f>
        <v>Force Free TN Directory </v>
      </c>
      <c r="B27" s="31" t="s">
        <v>284</v>
      </c>
      <c r="C27" s="67" t="str">
        <f>HYPERLINK("https://www.ddfl.org/resource/play-with-your-cat/","How to Play with Your Cat")</f>
        <v>How to Play with Your Cat</v>
      </c>
    </row>
    <row r="28">
      <c r="A28" s="67" t="str">
        <f>HYPERLINK("https://www.ddfl.org/resource/the-trained-cat/","The Trained Cat")</f>
        <v>The Trained Cat</v>
      </c>
      <c r="B28" s="31" t="s">
        <v>398</v>
      </c>
      <c r="C28" s="21" t="str">
        <f>HYPERLINK("https://resources.bestfriends.org/article/enrichment-ideas-activities-and-products-indoor-cats","Cat Enrichment")</f>
        <v>Cat Enrichment</v>
      </c>
    </row>
    <row r="29">
      <c r="A29" s="105" t="s">
        <v>399</v>
      </c>
      <c r="B29" s="31" t="s">
        <v>400</v>
      </c>
      <c r="C29" s="27" t="s">
        <v>401</v>
      </c>
    </row>
    <row r="30">
      <c r="A30" s="31" t="s">
        <v>402</v>
      </c>
      <c r="B30" s="31" t="s">
        <v>403</v>
      </c>
      <c r="C30" s="105" t="s">
        <v>404</v>
      </c>
    </row>
    <row r="31">
      <c r="A31" s="105" t="s">
        <v>405</v>
      </c>
      <c r="B31" s="31" t="s">
        <v>406</v>
      </c>
      <c r="C31" s="67" t="str">
        <f>HYPERLINK("https://www.thehappycatsite.com/best-cat-enrichment-toys/","Cat Enrichment Toys")</f>
        <v>Cat Enrichment Toys</v>
      </c>
    </row>
    <row r="32">
      <c r="A32" s="31" t="s">
        <v>407</v>
      </c>
      <c r="B32" s="31" t="s">
        <v>290</v>
      </c>
      <c r="C32" s="67" t="str">
        <f>HYPERLINK("https://www.rover.com/blog/best-cat-puzzle-toys/","Cat Puzzle Toys")</f>
        <v>Cat Puzzle Toys</v>
      </c>
    </row>
    <row r="33">
      <c r="A33" s="27" t="s">
        <v>408</v>
      </c>
      <c r="B33" s="27" t="s">
        <v>409</v>
      </c>
      <c r="C33" s="31" t="s">
        <v>410</v>
      </c>
    </row>
    <row r="34">
      <c r="A34" s="21"/>
      <c r="B34" s="31"/>
      <c r="C34" s="31"/>
    </row>
    <row r="35">
      <c r="B35" s="21"/>
      <c r="C35" s="31"/>
    </row>
    <row r="36">
      <c r="A36" s="84" t="s">
        <v>411</v>
      </c>
      <c r="B36" s="13" t="s">
        <v>412</v>
      </c>
      <c r="C36" s="24" t="s">
        <v>413</v>
      </c>
    </row>
    <row r="37">
      <c r="A37" s="67" t="str">
        <f>HYPERLINK("https://www.wikihow.com/Litter-Train-a-Kitten","Litter Training a Kitten")</f>
        <v>Litter Training a Kitten</v>
      </c>
      <c r="B37" s="16" t="str">
        <f>HYPERLINK("https://www.aspca.org/pet-care/cat-care/cat-grooming-tips","Basic Grooming Tips")</f>
        <v>Basic Grooming Tips</v>
      </c>
      <c r="C37" s="110" t="str">
        <f>HYPERLINK("https://www.ddfl.org/resource/understanding-why-your-cat-is-up-at-night/","Is Your Cat Up at Night?")</f>
        <v>Is Your Cat Up at Night?</v>
      </c>
    </row>
    <row r="38">
      <c r="A38" s="67" t="str">
        <f>HYPERLINK("https://www.ddfl.org/resource/solving-litter-box-problems/","Solving Litter Box Problems")</f>
        <v>Solving Litter Box Problems</v>
      </c>
      <c r="B38" s="16" t="str">
        <f>HYPERLINK("https://www.ddfl.org/resource/destructive-scratching-in-cats/","Destructive Scratching ")</f>
        <v>Destructive Scratching </v>
      </c>
      <c r="C38" s="67" t="str">
        <f>HYPERLINK("https://www.ddfl.org/resource/your-talkative-cat/","Talkative Cats")</f>
        <v>Talkative Cats</v>
      </c>
    </row>
    <row r="39">
      <c r="A39" s="67" t="str">
        <f>HYPERLINK("https://www.ddfl.org/resource/marking-behavior-in-cats/","Marking Behavior in Cats")</f>
        <v>Marking Behavior in Cats</v>
      </c>
      <c r="B39" s="16" t="str">
        <f>HYPERLINK("https://m.wikihow.com/Get-Your-Cat-to-Use-a-Scratching-Post","Training Your Cat to Use a Scratching Post ")</f>
        <v>Training Your Cat to Use a Scratching Post </v>
      </c>
      <c r="C39" s="67" t="str">
        <f>HYPERLINK("https://www.hillspet.com/cat-care/training/tips-for-kitten-proofing-your-home","Kitten-Proofing Your House!")</f>
        <v>Kitten-Proofing Your House!</v>
      </c>
    </row>
    <row r="40">
      <c r="A40" s="67" t="str">
        <f>HYPERLINK("https://resources.bestfriends.org/article/cat-spraying-house","Marking and Spraying, Continued")</f>
        <v>Marking and Spraying, Continued</v>
      </c>
      <c r="B40" s="16" t="str">
        <f>HYPERLINK("https://m.wikihow.com/Trim-Your-Cat%27s-Nails","Trimming Your Cat's Nails 101")</f>
        <v>Trimming Your Cat's Nails 101</v>
      </c>
      <c r="C40" s="31" t="s">
        <v>414</v>
      </c>
    </row>
    <row r="41">
      <c r="A41" s="67" t="str">
        <f>HYPERLINK("https://www.vet.cornell.edu/departments-centers-and-institutes/cornell-feline-health-center/health-information/feline-health-topics/feline-behavior-problems-house-soiling","Cornell EDU: House Soiling")</f>
        <v>Cornell EDU: House Soiling</v>
      </c>
      <c r="B41" s="16" t="str">
        <f>HYPERLINK("https://m.wikihow.com/Choose-Nail-Trimmers-for-Your-Cat","Choosing Nail Trimmers for Your Cat: Options")</f>
        <v>Choosing Nail Trimmers for Your Cat: Options</v>
      </c>
      <c r="C41" s="31" t="s">
        <v>415</v>
      </c>
    </row>
    <row r="42">
      <c r="A42" s="67"/>
      <c r="B42" s="16" t="str">
        <f>HYPERLINK("https://m.wikihow.com/Put-Nail-Caps-on-Your-Cat","Nail Caps on Cats 101")</f>
        <v>Nail Caps on Cats 101</v>
      </c>
      <c r="C42" s="31" t="s">
        <v>416</v>
      </c>
    </row>
    <row r="43">
      <c r="B43" s="30" t="s">
        <v>417</v>
      </c>
      <c r="C43" s="30" t="s">
        <v>418</v>
      </c>
    </row>
    <row r="44">
      <c r="C44" s="30" t="s">
        <v>419</v>
      </c>
    </row>
    <row r="45">
      <c r="C45" s="10" t="s">
        <v>257</v>
      </c>
    </row>
    <row r="47">
      <c r="A47" s="13" t="s">
        <v>420</v>
      </c>
      <c r="B47" s="13" t="s">
        <v>421</v>
      </c>
      <c r="C47" s="13" t="s">
        <v>422</v>
      </c>
    </row>
    <row r="48">
      <c r="A48" s="111" t="str">
        <f>HYPERLINK("https://www.alleycat.org/our-work/feral-friends-network/feral-friends-network-connect/","Feral Friends Network - Local TNR Efforts and Caregivers")</f>
        <v>Feral Friends Network - Local TNR Efforts and Caregivers</v>
      </c>
      <c r="B48" s="112" t="str">
        <f>HYPERLINK("https://resources.bestfriends.org/article/tnr-stray-cats-meaning-history-statistics","A History of TNR")</f>
        <v>A History of TNR</v>
      </c>
      <c r="C48" s="6" t="str">
        <f>HYPERLINK("https://www.alleycat.org/resources/how-to-live-with-cats-in-your-neighborhood/","How to Live with Community Cats ")</f>
        <v>How to Live with Community Cats </v>
      </c>
    </row>
    <row r="49">
      <c r="A49" s="6" t="str">
        <f>HYPERLINK("https://resources.bestfriends.org/article/colony-management-and-caregiver-resources","Colony Management and Caregiver Resources")</f>
        <v>Colony Management and Caregiver Resources</v>
      </c>
      <c r="B49" s="6" t="str">
        <f>HYPERLINK("https://resources.bestfriends.org/article/how-lobby-trap-neuter-return-tnr","How to Lobby for TNR")</f>
        <v>How to Lobby for TNR</v>
      </c>
      <c r="C49" s="6" t="str">
        <f>HYPERLINK("https://resources.bestfriends.org/article/solutions-cat-related-issues","Solutions to Cat Related Issues")</f>
        <v>Solutions to Cat Related Issues</v>
      </c>
    </row>
    <row r="50">
      <c r="A50" s="6" t="str">
        <f>HYPERLINK("https://www.alleycat.org/community-cat-care/financial-resources-for-cats/","Financial Resources for Caregivers")</f>
        <v>Financial Resources for Caregivers</v>
      </c>
      <c r="B50" s="6" t="str">
        <f>HYPERLINK("https://www.aspcapro.org/resource/spayneuter-feral-cats/how-talk-tnr","How to Talk TNR")</f>
        <v>How to Talk TNR</v>
      </c>
      <c r="C50" s="6" t="str">
        <f>HYPERLINK("https://www.aspcapro.org/resource/5-tips-make-community-cats-better-neighbors","Making Community Cats Better Neighbors")</f>
        <v>Making Community Cats Better Neighbors</v>
      </c>
    </row>
    <row r="51">
      <c r="A51" s="6" t="str">
        <f>HYPERLINK("https://www.alleycat.org/community-cat-care/substitute-colony-care/","Substitute Colony Care")</f>
        <v>Substitute Colony Care</v>
      </c>
      <c r="B51" s="6" t="str">
        <f>HYPERLINK("https://www.alleycat.org/resources/how-to-help-community-cats-a-step-by-step-guide-to-trap-neuter-return/","Step by Step: A Guide to TNR")</f>
        <v>Step by Step: A Guide to TNR</v>
      </c>
      <c r="C51" s="6"/>
    </row>
    <row r="52">
      <c r="A52" s="6" t="str">
        <f>HYPERLINK("https://resources.bestfriends.org/article/how-help-outside-cats-winter","Helping Community Cats In the Winter")</f>
        <v>Helping Community Cats In the Winter</v>
      </c>
      <c r="B52" s="6" t="str">
        <f>HYPERLINK("https://www.youtube.com/watch?v=vSnWZ4ex0N8#action=share","A Guide to Humane Cat Traps")</f>
        <v>A Guide to Humane Cat Traps</v>
      </c>
      <c r="C52" s="6"/>
    </row>
    <row r="53">
      <c r="A53" s="6" t="str">
        <f>HYPERLINK("https://www.aspcapro.org/resource/talkin-tnr-4-responsible-feeding-practices","Responsible Feeding Practices")</f>
        <v>Responsible Feeding Practices</v>
      </c>
      <c r="B53" s="6" t="str">
        <f>HYPERLINK("https://hsus.digitalchalk.com/learn/as-002-trap-neuter-return-how-to-manage-a-community-cat-colony?","TNR: Managing a Cat Colony - Online Course")</f>
        <v>TNR: Managing a Cat Colony - Online Course</v>
      </c>
      <c r="C53" s="6"/>
    </row>
    <row r="54">
      <c r="A54" s="6" t="str">
        <f>HYPERLINK("https://www.animalsheltering.org/trainings?tags=26","Community Cat Webinar Library")</f>
        <v>Community Cat Webinar Library</v>
      </c>
      <c r="B54" s="6"/>
      <c r="C54" s="6"/>
    </row>
    <row r="55">
      <c r="A55" s="113"/>
      <c r="B55" s="6"/>
      <c r="C55" s="6"/>
    </row>
    <row r="56">
      <c r="A56" s="13" t="s">
        <v>423</v>
      </c>
      <c r="B56" s="13"/>
      <c r="C56" s="13" t="s">
        <v>413</v>
      </c>
    </row>
    <row r="57">
      <c r="A57" s="6" t="str">
        <f>HYPERLINK("https://www.alleycat.org/resources/kitten-progression/","How Old is That Kitten? Kitten Progression ")</f>
        <v>How Old is That Kitten? Kitten Progression </v>
      </c>
      <c r="B57" s="31" t="s">
        <v>424</v>
      </c>
      <c r="C57" s="6" t="str">
        <f>HYPERLINK("https://www.alleycat.org/resources/talking-about-cats-helpful-terms-and-definitions/","Talk Community Cat: Need to Know Terms ")</f>
        <v>Talk Community Cat: Need to Know Terms </v>
      </c>
    </row>
    <row r="58">
      <c r="A58" s="6" t="str">
        <f>HYPERLINK("https://www.alleycat.org/resources/protocols-pediatric-spay-and-neuter/","Early Prevention: Pediatric Spay and Neuter")</f>
        <v>Early Prevention: Pediatric Spay and Neuter</v>
      </c>
      <c r="B58" s="27" t="s">
        <v>425</v>
      </c>
      <c r="C58" s="6" t="str">
        <f>HYPERLINK("https://www.alleycat.org/resources/quick-guide-for-identifying-cats/","Identifying Cats: A Quick Guide")</f>
        <v>Identifying Cats: A Quick Guide</v>
      </c>
    </row>
    <row r="59">
      <c r="A59" s="6" t="str">
        <f>HYPERLINK("https://www.alleycat.org/resources/help-i-found-a-kitten-outdoors-poster/","To Help or Not to Help: A Flowchart")</f>
        <v>To Help or Not to Help: A Flowchart</v>
      </c>
      <c r="B59" s="31" t="s">
        <v>426</v>
      </c>
      <c r="C59" s="6"/>
    </row>
    <row r="60">
      <c r="A60" s="16"/>
      <c r="B60" s="27" t="s">
        <v>427</v>
      </c>
      <c r="C60" s="6"/>
    </row>
    <row r="61">
      <c r="A61" s="16"/>
      <c r="B61" s="16"/>
      <c r="C61" s="6"/>
    </row>
    <row r="62">
      <c r="A62" s="13" t="s">
        <v>361</v>
      </c>
      <c r="B62" s="13" t="s">
        <v>365</v>
      </c>
      <c r="C62" s="13" t="s">
        <v>363</v>
      </c>
    </row>
    <row r="63">
      <c r="A63" s="6" t="str">
        <f>HYPERLINK("https://www.thedodo.com/how-to-move-country-pet-2086901118.html","Moving Internationally with Pets")</f>
        <v>Moving Internationally with Pets</v>
      </c>
      <c r="B63" s="114" t="str">
        <f>HYPERLINK("https://www.nolo.com/legal-encyclopedia/tennessee-laws-on-guide-dogs-and-support-animals-in-public-places-and-housing.html","TN Laws on Guide Dogs and Support Animals")</f>
        <v>TN Laws on Guide Dogs and Support Animals</v>
      </c>
      <c r="C63" s="6" t="str">
        <f>HYPERLINK("https://www.petswelcome.com/","Pets Welcome Directory ")</f>
        <v>Pets Welcome Directory </v>
      </c>
    </row>
    <row r="64">
      <c r="A64" s="6" t="str">
        <f>HYPERLINK("https://www.petrelocation.com/","Pet Relocation: US and International Pet Shipping")</f>
        <v>Pet Relocation: US and International Pet Shipping</v>
      </c>
      <c r="B64" s="114" t="str">
        <f>HYPERLINK("https://library.municode.com/tn/metro_government_of_nashville_and_davidson_county/codes/code_of_ordinances?nodeId=CD_TIT8AN","Davidson Co. Law as it Relates to Animals")</f>
        <v>Davidson Co. Law as it Relates to Animals</v>
      </c>
      <c r="C64" s="6" t="str">
        <f>HYPERLINK("https://www.bringfido.com/","Bring Fido - Places to Stay, Play and Eat!")</f>
        <v>Bring Fido - Places to Stay, Play and Eat!</v>
      </c>
    </row>
    <row r="65">
      <c r="A65" s="6" t="str">
        <f>HYPERLINK("https://www.ipata.org/","IPATA: International Pet Shipping")</f>
        <v>IPATA: International Pet Shipping</v>
      </c>
      <c r="B65" s="6" t="str">
        <f>HYPERLINK("https://www.tenantresourcecenter.org/pets_and_service_animals","Tenant Resource Center’s Guide to Pets and Service Animals")</f>
        <v>Tenant Resource Center’s Guide to Pets and Service Animals</v>
      </c>
      <c r="C65" s="16" t="str">
        <f>HYPERLINK("https://www.gopetfriendly.com/","Go Pet Friendly - Hotels and Travel Destinations")</f>
        <v>Go Pet Friendly - Hotels and Travel Destinations</v>
      </c>
    </row>
    <row r="66">
      <c r="A66" s="6" t="str">
        <f>HYPERLINK("https://www.happytailstravel.com/services/pet-shipping-overseas-international","Happy Tails Travel: US and International Pet Shipping")</f>
        <v>Happy Tails Travel: US and International Pet Shipping</v>
      </c>
      <c r="B66" s="6" t="str">
        <f>HYPERLINK("https://www.humanesociety.org/resources/information-renters-pets","HSUS’s Information for Renters with Pets")</f>
        <v>HSUS’s Information for Renters with Pets</v>
      </c>
      <c r="C66" s="6" t="str">
        <f>HYPERLINK("https://resources.bestfriends.org/article/traveling-pets-tips-travel-and-vacations-dog-or-cat","How to Travel With Pets")</f>
        <v>How to Travel With Pets</v>
      </c>
    </row>
    <row r="67">
      <c r="A67" s="16" t="s">
        <v>364</v>
      </c>
      <c r="B67" s="16" t="str">
        <f>HYPERLINK("https://www.humanesociety.org/resources/fair-housing-act-and-assistance-animals","The Fair Housing Act (FHA) and Assistance Animals")</f>
        <v>The Fair Housing Act (FHA) and Assistance Animals</v>
      </c>
      <c r="C67" s="115"/>
    </row>
    <row r="68">
      <c r="A68" s="6" t="str">
        <f>HYPERLINK("https://www.aspca.org/pet-care/general-pet-care/moving-your-pet","Moving With Your Pet")</f>
        <v>Moving With Your Pet</v>
      </c>
      <c r="B68" s="6" t="str">
        <f>HYPERLINK("https://www.animalsheltering.org/pawadvocateguide","HSUS’s Pets are Welcome Guide to Advocacy")</f>
        <v>HSUS’s Pets are Welcome Guide to Advocacy</v>
      </c>
      <c r="C68" s="113"/>
    </row>
    <row r="69">
      <c r="A69" s="16" t="str">
        <f>HYPERLINK("https://www.abodo.com/pet-friendly","Abodo Directory")</f>
        <v>Abodo Directory</v>
      </c>
      <c r="B69" s="6"/>
      <c r="C69" s="113"/>
    </row>
    <row r="70">
      <c r="A70" s="16" t="str">
        <f>HYPERLINK("http://www.peoplewithpets.com/","People With Pets Directory")</f>
        <v>People With Pets Directory</v>
      </c>
      <c r="B70" s="6"/>
      <c r="C70" s="113"/>
    </row>
    <row r="71">
      <c r="A71" s="113"/>
      <c r="B71" s="6"/>
      <c r="C71" s="113"/>
    </row>
    <row r="72">
      <c r="A72" s="13" t="s">
        <v>370</v>
      </c>
      <c r="B72" s="13"/>
      <c r="C72" s="13"/>
    </row>
    <row r="73">
      <c r="A73" s="6" t="str">
        <f>HYPERLINK("https://www.ddfl.org/resource/choosing-a-boarding-kennel/","How to Choose a Boarding Facility")</f>
        <v>How to Choose a Boarding Facility</v>
      </c>
      <c r="B73" s="16" t="str">
        <f>HYPERLINK("https://www.mysecondhome.com/","My Second Home")</f>
        <v>My Second Home</v>
      </c>
      <c r="C73" s="16" t="str">
        <f>HYPERLINK("https://www.southpawdog.com/","SouthPaws ")</f>
        <v>SouthPaws </v>
      </c>
    </row>
    <row r="74">
      <c r="A74" s="16" t="str">
        <f>HYPERLINK("http://www.thebelmontpetresort.com/","The Belmont Pet Resort and Daycare")</f>
        <v>The Belmont Pet Resort and Daycare</v>
      </c>
      <c r="B74" s="16" t="str">
        <f>HYPERLINK("https://www.petresortsofamerica.com/","Pet Resorts of America")</f>
        <v>Pet Resorts of America</v>
      </c>
      <c r="C74" s="16" t="str">
        <f>HYPERLINK("https://www.campbowwow.com/nashville-downtown/","Camp Bow Wow ")</f>
        <v>Camp Bow Wow </v>
      </c>
    </row>
    <row r="75">
      <c r="A75" s="16" t="str">
        <f>HYPERLINK("https://www.beckwithfarmspetretreat.com/","Beckwith Farms Pet Retreat")</f>
        <v>Beckwith Farms Pet Retreat</v>
      </c>
      <c r="B75" s="16" t="str">
        <f>HYPERLINK("https://www.misskittysnashville.com/","Miss Kitty's Nashville")</f>
        <v>Miss Kitty's Nashville</v>
      </c>
      <c r="C75" s="6"/>
    </row>
    <row r="76">
      <c r="A76" s="115"/>
      <c r="B76" s="113"/>
      <c r="C76" s="113"/>
    </row>
    <row r="77">
      <c r="A77" s="13" t="s">
        <v>428</v>
      </c>
      <c r="B77" s="13" t="s">
        <v>429</v>
      </c>
      <c r="C77" s="13" t="s">
        <v>8</v>
      </c>
    </row>
    <row r="78">
      <c r="A78" s="6" t="str">
        <f>HYPERLINK("https://resources.bestfriends.org/article/natural-disaster-preparedness-families-pets","Natural Disaster Preparedness for Families with Pets")</f>
        <v>Natural Disaster Preparedness for Families with Pets</v>
      </c>
      <c r="B78" s="18" t="str">
        <f>HYPERLINK("https://redrover.org/relief/dv-safe-escape-grants/","Red Rover - Pet Boarding for Those Escaping Domestic Violence ")</f>
        <v>Red Rover - Pet Boarding for Those Escaping Domestic Violence </v>
      </c>
      <c r="C78" s="113"/>
    </row>
    <row r="79">
      <c r="A79" s="6" t="str">
        <f>HYPERLINK("https://resources.bestfriends.org/article/pet-natural-disaster-checklist-and-emergency-plan","Pet Natural Disaster Checklist and Emergency Plan")</f>
        <v>Pet Natural Disaster Checklist and Emergency Plan</v>
      </c>
      <c r="B79" s="18" t="str">
        <f>HYPERLINK("https://redrover.org/relief/emergency-boarding-grants/","Red Rover - Pet Boarding for Those Hospitalized due to COVID-19")</f>
        <v>Red Rover - Pet Boarding for Those Hospitalized due to COVID-19</v>
      </c>
      <c r="C79" s="113"/>
    </row>
    <row r="80">
      <c r="A80" s="115"/>
      <c r="B80" s="6" t="str">
        <f>HYPERLINK("https://www.safpaw.org/what-we-do","SAFPAW - Emergency Fostering for Homeless Pets")</f>
        <v>SAFPAW - Emergency Fostering for Homeless Pets</v>
      </c>
      <c r="C80" s="113"/>
    </row>
    <row r="81">
      <c r="A81" s="115"/>
      <c r="B81" s="113"/>
      <c r="C81" s="113"/>
    </row>
    <row r="82">
      <c r="A82" s="13" t="s">
        <v>378</v>
      </c>
      <c r="B82" s="13" t="s">
        <v>379</v>
      </c>
      <c r="C82" s="13" t="s">
        <v>380</v>
      </c>
    </row>
    <row r="83">
      <c r="A83" s="16" t="str">
        <f>HYPERLINK("https://resources.bestfriends.org/article/pet-profiles-how-write-adoptable-animal-bios","How to Write the Best Pet Bio Possible")</f>
        <v>How to Write the Best Pet Bio Possible</v>
      </c>
      <c r="B83" s="16" t="str">
        <f>HYPERLINK("https://rehome.adoptapet.com/","Adopt-A-Pet, Powered by Petco")</f>
        <v>Adopt-A-Pet, Powered by Petco</v>
      </c>
      <c r="C83" s="16" t="str">
        <f>HYPERLINK("http://worldanimal.net/component/wandirs/list?continentID=4&amp;countryID=227","World Animal Network")</f>
        <v>World Animal Network</v>
      </c>
    </row>
    <row r="84">
      <c r="A84" s="16" t="str">
        <f>HYPERLINK("https://getyourpet.com/tips-for-guardians/","Tips on Vetting Adopters, Etc. from Get Your Pet")</f>
        <v>Tips on Vetting Adopters, Etc. from Get Your Pet</v>
      </c>
      <c r="B84" s="16" t="str">
        <f>HYPERLINK("https://getyourpet.com/how-to-rehome-a-dog-or-cat-step-by-step/","Get Your Pet!")</f>
        <v>Get Your Pet!</v>
      </c>
      <c r="C84" s="16" t="str">
        <f>HYPERLINK("https://www.nokillnetwork.org/rehome.php","No-Kill Network")</f>
        <v>No-Kill Network</v>
      </c>
    </row>
    <row r="85">
      <c r="A85" s="16" t="str">
        <f>HYPERLINK("https://resources.bestfriends.org/article/rehoming-special-needs-pet","Rehoming a Special Needs Pet")</f>
        <v>Rehoming a Special Needs Pet</v>
      </c>
      <c r="B85" s="16" t="str">
        <f>HYPERLINK("https://www.rescueme.org/","Rescue Me!")</f>
        <v>Rescue Me!</v>
      </c>
      <c r="C85" s="115"/>
    </row>
    <row r="86">
      <c r="A86" s="115"/>
      <c r="B86" s="16" t="str">
        <f>HYPERLINK("https://www.facebook.com/groups/1427473560705021/","Nashville Pet Rehoming")</f>
        <v>Nashville Pet Rehoming</v>
      </c>
      <c r="C86" s="115"/>
    </row>
    <row r="87">
      <c r="A87" s="115"/>
      <c r="B87" s="113"/>
      <c r="C87" s="115"/>
    </row>
    <row r="88">
      <c r="A88" s="13" t="s">
        <v>247</v>
      </c>
      <c r="B88" s="13" t="s">
        <v>248</v>
      </c>
      <c r="C88" s="13" t="s">
        <v>249</v>
      </c>
    </row>
    <row r="89">
      <c r="A89" s="16" t="str">
        <f>HYPERLINK("https://www.dvm360.com/view/treat-or-euthanize-helping-owners-make-critical-decisions-regarding-pets-with-behavior-problems","DVM: Making Critical Decisions, Behavioral Euthanasia")</f>
        <v>DVM: Making Critical Decisions, Behavioral Euthanasia</v>
      </c>
      <c r="B89" s="67" t="str">
        <f>HYPERLINK("https://vet.osu.edu/vmc/sites/default/files/import/assets/pdf/hospital/companionAnimals/HonoringtheBond/HowDoIKnowWhen.pdf","Knowing When It's Time - Medical Euthanasia")</f>
        <v>Knowing When It's Time - Medical Euthanasia</v>
      </c>
      <c r="C89" s="6" t="str">
        <f>HYPERLINK("https://petlossathome.com/mobile-vet/tennessee/nashville-cat-dog-euthanasia/","Pet Loss at Home ")</f>
        <v>Pet Loss at Home </v>
      </c>
    </row>
    <row r="90">
      <c r="A90" s="16" t="str">
        <f>HYPERLINK("https://vet.osu.edu/vmc/sites/default/files/import/files/documents/pdf/vmc/Behavioral%20Euthanasia%20fact%20sheet.pdf","Ohio State Veterinary: Considerations for Behavioral Euthanasia")</f>
        <v>Ohio State Veterinary: Considerations for Behavioral Euthanasia</v>
      </c>
      <c r="B90" s="16" t="str">
        <f>HYPERLINK("https://www.americanhumane.org/fact-sheet/euthanasia-making-the-decision/","What to Expect : Euthanasia")</f>
        <v>What to Expect : Euthanasia</v>
      </c>
      <c r="C90" s="6" t="str">
        <f>HYPERLINK("https://www.lapoflove.com/Locations-Tennessee-Nashville","Lap of Love")</f>
        <v>Lap of Love</v>
      </c>
    </row>
    <row r="91">
      <c r="A91" s="16" t="str">
        <f>HYPERLINK("https://www.facebook.com/groups/losinglulu/","Behavioral Euthanasia Support Group, Facebook")</f>
        <v>Behavioral Euthanasia Support Group, Facebook</v>
      </c>
      <c r="B91" s="16" t="str">
        <f>HYPERLINK("https://www.lapoflove.com/community/Pet-Loss-Support","Directory of Resources for Pet-Loss Support ")</f>
        <v>Directory of Resources for Pet-Loss Support </v>
      </c>
      <c r="C91" s="113"/>
    </row>
    <row r="92">
      <c r="A92" s="115"/>
      <c r="B92" s="115"/>
      <c r="C92" s="115"/>
    </row>
  </sheetData>
  <hyperlinks>
    <hyperlink r:id="rId1" ref="B4"/>
    <hyperlink r:id="rId2" ref="A15"/>
    <hyperlink r:id="rId3" ref="A16"/>
    <hyperlink r:id="rId4" ref="A17"/>
    <hyperlink r:id="rId5" ref="C18"/>
    <hyperlink r:id="rId6" ref="C22"/>
    <hyperlink r:id="rId7" ref="B23"/>
    <hyperlink r:id="rId8" ref="C23"/>
    <hyperlink r:id="rId9" ref="A24"/>
    <hyperlink r:id="rId10" ref="B27"/>
    <hyperlink r:id="rId11" ref="B28"/>
    <hyperlink r:id="rId12" ref="A29"/>
    <hyperlink r:id="rId13" ref="B29"/>
    <hyperlink r:id="rId14" ref="C29"/>
    <hyperlink r:id="rId15" ref="A30"/>
    <hyperlink r:id="rId16" ref="B30"/>
    <hyperlink r:id="rId17" ref="C30"/>
    <hyperlink r:id="rId18" ref="A31"/>
    <hyperlink r:id="rId19" ref="B31"/>
    <hyperlink r:id="rId20" ref="A32"/>
    <hyperlink r:id="rId21" ref="B32"/>
    <hyperlink r:id="rId22" ref="A33"/>
    <hyperlink r:id="rId23" ref="B33"/>
    <hyperlink r:id="rId24" ref="C33"/>
    <hyperlink r:id="rId25" ref="C40"/>
    <hyperlink r:id="rId26" ref="C41"/>
    <hyperlink r:id="rId27" ref="C42"/>
    <hyperlink r:id="rId28" ref="B43"/>
    <hyperlink r:id="rId29" ref="C43"/>
    <hyperlink r:id="rId30" ref="C44"/>
    <hyperlink r:id="rId31" ref="C45"/>
    <hyperlink r:id="rId32" ref="B57"/>
    <hyperlink r:id="rId33" ref="B58"/>
    <hyperlink r:id="rId34" ref="B59"/>
    <hyperlink r:id="rId35" ref="B60"/>
    <hyperlink r:id="rId36" ref="A67"/>
  </hyperlinks>
  <drawing r:id="rId37"/>
</worksheet>
</file>